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E:\DGaout2021newonsept102021\BoG202\docsenglish\docfrench\"/>
    </mc:Choice>
  </mc:AlternateContent>
  <xr:revisionPtr revIDLastSave="0" documentId="13_ncr:1_{4B3FDFAD-3992-4E63-99FB-6BF6F82BA4E9}" xr6:coauthVersionLast="47" xr6:coauthVersionMax="47" xr10:uidLastSave="{00000000-0000-0000-0000-000000000000}"/>
  <bookViews>
    <workbookView xWindow="390" yWindow="405" windowWidth="18630" windowHeight="10920" firstSheet="7" activeTab="7" xr2:uid="{00000000-000D-0000-FFFF-FFFF00000000}"/>
  </bookViews>
  <sheets>
    <sheet name="Bank XOF" sheetId="1" state="hidden" r:id="rId1"/>
    <sheet name="Exp XOF" sheetId="2" state="hidden" r:id="rId2"/>
    <sheet name="Visa XOF" sheetId="3" state="hidden" r:id="rId3"/>
    <sheet name="Exp Visa" sheetId="4" state="hidden" r:id="rId4"/>
    <sheet name="Details" sheetId="5" state="hidden" r:id="rId5"/>
    <sheet name="Workplan year2" sheetId="6" state="hidden" r:id="rId6"/>
    <sheet name="Budget Year 2" sheetId="23" state="hidden" r:id="rId7"/>
    <sheet name="PTA_Annee2" sheetId="8" r:id="rId8"/>
    <sheet name="Budget Annee 2" sheetId="24" r:id="rId9"/>
    <sheet name="BG" sheetId="10" state="hidden" r:id="rId10"/>
    <sheet name="Fin Re" sheetId="11" state="hidden" r:id="rId11"/>
    <sheet name="Fin Re (2)" sheetId="12" state="hidden" r:id="rId12"/>
    <sheet name="Fin Re (3)" sheetId="13" state="hidden" r:id="rId13"/>
    <sheet name="Bank CFA2014" sheetId="14" state="hidden" r:id="rId14"/>
    <sheet name="Rec ban 2014" sheetId="15" state="hidden" r:id="rId15"/>
    <sheet name="Bank € 14 " sheetId="16" state="hidden" r:id="rId16"/>
    <sheet name="Summary" sheetId="17" state="hidden" r:id="rId17"/>
    <sheet name="Cash" sheetId="18" state="hidden" r:id="rId18"/>
    <sheet name="Jan-Mar 16" sheetId="19" state="hidden" r:id="rId19"/>
    <sheet name="April-June 16" sheetId="20" state="hidden" r:id="rId20"/>
    <sheet name="Feuil1" sheetId="21" state="hidden" r:id="rId21"/>
    <sheet name="Jul-Sept 16" sheetId="22" state="hidden" r:id="rId22"/>
  </sheets>
  <externalReferences>
    <externalReference r:id="rId23"/>
    <externalReference r:id="rId24"/>
    <externalReference r:id="rId2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1" i="8" l="1"/>
  <c r="B7" i="8"/>
  <c r="L132" i="24"/>
  <c r="P132" i="24" s="1"/>
  <c r="T132" i="24" s="1"/>
  <c r="K132" i="24"/>
  <c r="O132" i="24" s="1"/>
  <c r="J132" i="24"/>
  <c r="N132" i="24" s="1"/>
  <c r="I132" i="24"/>
  <c r="T126" i="24"/>
  <c r="O126" i="24"/>
  <c r="N126" i="24"/>
  <c r="M126" i="24"/>
  <c r="L126" i="24"/>
  <c r="K126" i="24"/>
  <c r="J126" i="24"/>
  <c r="V124" i="24"/>
  <c r="R124" i="24"/>
  <c r="R126" i="24" s="1"/>
  <c r="Q124" i="24"/>
  <c r="Q126" i="24" s="1"/>
  <c r="P124" i="24"/>
  <c r="P126" i="24" s="1"/>
  <c r="H124" i="24"/>
  <c r="D124" i="24"/>
  <c r="C124" i="24"/>
  <c r="G124" i="24" s="1"/>
  <c r="V120" i="24"/>
  <c r="W120" i="24" s="1"/>
  <c r="R120" i="24"/>
  <c r="Q120" i="24"/>
  <c r="P120" i="24"/>
  <c r="I120" i="24"/>
  <c r="E120" i="24"/>
  <c r="V119" i="24"/>
  <c r="R119" i="24"/>
  <c r="Q119" i="24"/>
  <c r="Q118" i="24" s="1"/>
  <c r="P119" i="24"/>
  <c r="P118" i="24" s="1"/>
  <c r="I119" i="24"/>
  <c r="E119" i="24"/>
  <c r="U118" i="24"/>
  <c r="T118" i="24"/>
  <c r="O118" i="24"/>
  <c r="N118" i="24"/>
  <c r="M118" i="24"/>
  <c r="L118" i="24"/>
  <c r="K118" i="24"/>
  <c r="J118" i="24"/>
  <c r="I118" i="24"/>
  <c r="E118" i="24"/>
  <c r="V116" i="24"/>
  <c r="U116" i="24"/>
  <c r="R116" i="24"/>
  <c r="Q116" i="24"/>
  <c r="P116" i="24"/>
  <c r="D116" i="24"/>
  <c r="H116" i="24" s="1"/>
  <c r="C116" i="24"/>
  <c r="U115" i="24"/>
  <c r="T115" i="24"/>
  <c r="R115" i="24"/>
  <c r="P115" i="24"/>
  <c r="O115" i="24"/>
  <c r="N115" i="24"/>
  <c r="M115" i="24"/>
  <c r="L115" i="24"/>
  <c r="K115" i="24"/>
  <c r="J115" i="24"/>
  <c r="W114" i="24"/>
  <c r="W112" i="24" s="1"/>
  <c r="R114" i="24"/>
  <c r="R112" i="24" s="1"/>
  <c r="Q114" i="24"/>
  <c r="P114" i="24"/>
  <c r="P112" i="24" s="1"/>
  <c r="D114" i="24"/>
  <c r="V112" i="24"/>
  <c r="U112" i="24"/>
  <c r="T112" i="24"/>
  <c r="Q112" i="24"/>
  <c r="O112" i="24"/>
  <c r="N112" i="24"/>
  <c r="M112" i="24"/>
  <c r="L112" i="24"/>
  <c r="K112" i="24"/>
  <c r="J112" i="24"/>
  <c r="V111" i="24"/>
  <c r="W111" i="24" s="1"/>
  <c r="S111" i="24"/>
  <c r="R111" i="24"/>
  <c r="Q111" i="24"/>
  <c r="P111" i="24"/>
  <c r="D111" i="24"/>
  <c r="C111" i="24"/>
  <c r="G111" i="24" s="1"/>
  <c r="V110" i="24"/>
  <c r="S110" i="24"/>
  <c r="S109" i="24" s="1"/>
  <c r="R110" i="24"/>
  <c r="Q110" i="24"/>
  <c r="P110" i="24"/>
  <c r="P109" i="24" s="1"/>
  <c r="D110" i="24"/>
  <c r="H110" i="24" s="1"/>
  <c r="C110" i="24"/>
  <c r="G110" i="24" s="1"/>
  <c r="V109" i="24"/>
  <c r="T109" i="24"/>
  <c r="R109" i="24"/>
  <c r="O109" i="24"/>
  <c r="N109" i="24"/>
  <c r="M109" i="24"/>
  <c r="L109" i="24"/>
  <c r="K109" i="24"/>
  <c r="J109" i="24"/>
  <c r="W108" i="24"/>
  <c r="V108" i="24"/>
  <c r="U108" i="24"/>
  <c r="T108" i="24"/>
  <c r="S108" i="24"/>
  <c r="R108" i="24"/>
  <c r="Q108" i="24"/>
  <c r="P108" i="24"/>
  <c r="O108" i="24"/>
  <c r="N108" i="24"/>
  <c r="M108" i="24"/>
  <c r="L108" i="24"/>
  <c r="K108" i="24"/>
  <c r="J108" i="24"/>
  <c r="I108" i="24"/>
  <c r="S107" i="24"/>
  <c r="S106" i="24" s="1"/>
  <c r="R107" i="24"/>
  <c r="R106" i="24" s="1"/>
  <c r="Q107" i="24"/>
  <c r="P107" i="24"/>
  <c r="P106" i="24" s="1"/>
  <c r="I107" i="24"/>
  <c r="I106" i="24" s="1"/>
  <c r="E107" i="24"/>
  <c r="E106" i="24" s="1"/>
  <c r="W106" i="24"/>
  <c r="V106" i="24"/>
  <c r="U106" i="24"/>
  <c r="T106" i="24"/>
  <c r="Q106" i="24"/>
  <c r="O106" i="24"/>
  <c r="N106" i="24"/>
  <c r="M106" i="24"/>
  <c r="L106" i="24"/>
  <c r="K106" i="24"/>
  <c r="J106" i="24"/>
  <c r="V105" i="24"/>
  <c r="U105" i="24"/>
  <c r="W105" i="24" s="1"/>
  <c r="R105" i="24"/>
  <c r="Q105" i="24"/>
  <c r="P105" i="24"/>
  <c r="C105" i="24"/>
  <c r="G105" i="24" s="1"/>
  <c r="R104" i="24"/>
  <c r="Q104" i="24"/>
  <c r="S104" i="24" s="1"/>
  <c r="P104" i="24"/>
  <c r="G104" i="24"/>
  <c r="U104" i="24" s="1"/>
  <c r="D104" i="24"/>
  <c r="C104" i="24"/>
  <c r="R103" i="24"/>
  <c r="Q103" i="24"/>
  <c r="P103" i="24"/>
  <c r="E103" i="24"/>
  <c r="D103" i="24"/>
  <c r="H103" i="24" s="1"/>
  <c r="C103" i="24"/>
  <c r="G103" i="24" s="1"/>
  <c r="U103" i="24" s="1"/>
  <c r="V102" i="24"/>
  <c r="U102" i="24"/>
  <c r="R102" i="24"/>
  <c r="Q102" i="24"/>
  <c r="S102" i="24" s="1"/>
  <c r="P102" i="24"/>
  <c r="G102" i="24"/>
  <c r="D102" i="24"/>
  <c r="C102" i="24"/>
  <c r="V101" i="24"/>
  <c r="W101" i="24" s="1"/>
  <c r="R101" i="24"/>
  <c r="Q101" i="24"/>
  <c r="P101" i="24"/>
  <c r="S101" i="24" s="1"/>
  <c r="G101" i="24"/>
  <c r="D101" i="24"/>
  <c r="C101" i="24"/>
  <c r="T100" i="24"/>
  <c r="O100" i="24"/>
  <c r="N100" i="24"/>
  <c r="M100" i="24"/>
  <c r="L100" i="24"/>
  <c r="K100" i="24"/>
  <c r="J100" i="24"/>
  <c r="W99" i="24"/>
  <c r="V99" i="24"/>
  <c r="U99" i="24"/>
  <c r="T99" i="24"/>
  <c r="S99" i="24"/>
  <c r="R99" i="24"/>
  <c r="Q99" i="24"/>
  <c r="P99" i="24"/>
  <c r="O99" i="24"/>
  <c r="N99" i="24"/>
  <c r="M99" i="24"/>
  <c r="L99" i="24"/>
  <c r="K99" i="24"/>
  <c r="J99" i="24"/>
  <c r="I99" i="24"/>
  <c r="W95" i="24"/>
  <c r="H95" i="24"/>
  <c r="I95" i="24" s="1"/>
  <c r="E95" i="24"/>
  <c r="V94" i="24"/>
  <c r="W94" i="24" s="1"/>
  <c r="U94" i="24"/>
  <c r="R94" i="24"/>
  <c r="P94" i="24"/>
  <c r="H94" i="24"/>
  <c r="I94" i="24" s="1"/>
  <c r="D94" i="24"/>
  <c r="E94" i="24" s="1"/>
  <c r="V93" i="24"/>
  <c r="V92" i="24" s="1"/>
  <c r="U93" i="24"/>
  <c r="R93" i="24"/>
  <c r="Q93" i="24"/>
  <c r="S93" i="24" s="1"/>
  <c r="P93" i="24"/>
  <c r="I93" i="24"/>
  <c r="E93" i="24"/>
  <c r="U92" i="24"/>
  <c r="T92" i="24"/>
  <c r="O92" i="24"/>
  <c r="N92" i="24"/>
  <c r="M92" i="24"/>
  <c r="L92" i="24"/>
  <c r="K92" i="24"/>
  <c r="J92" i="24"/>
  <c r="I92" i="24"/>
  <c r="R91" i="24"/>
  <c r="Q91" i="24"/>
  <c r="P91" i="24"/>
  <c r="I91" i="24"/>
  <c r="E91" i="24"/>
  <c r="V90" i="24"/>
  <c r="W90" i="24" s="1"/>
  <c r="R90" i="24"/>
  <c r="P90" i="24"/>
  <c r="H90" i="24"/>
  <c r="I90" i="24" s="1"/>
  <c r="D90" i="24"/>
  <c r="E90" i="24" s="1"/>
  <c r="V89" i="24"/>
  <c r="R89" i="24"/>
  <c r="Q89" i="24"/>
  <c r="P89" i="24"/>
  <c r="H89" i="24"/>
  <c r="I89" i="24" s="1"/>
  <c r="E89" i="24"/>
  <c r="U88" i="24"/>
  <c r="T88" i="24"/>
  <c r="R88" i="24"/>
  <c r="O88" i="24"/>
  <c r="N88" i="24"/>
  <c r="M88" i="24"/>
  <c r="L88" i="24"/>
  <c r="K88" i="24"/>
  <c r="J88" i="24"/>
  <c r="S85" i="24"/>
  <c r="R85" i="24"/>
  <c r="Q85" i="24"/>
  <c r="P85" i="24"/>
  <c r="I85" i="24"/>
  <c r="E85" i="24"/>
  <c r="W84" i="24"/>
  <c r="Q84" i="24"/>
  <c r="P84" i="24"/>
  <c r="E84" i="24"/>
  <c r="I84" i="24" s="1"/>
  <c r="V83" i="24"/>
  <c r="W83" i="24" s="1"/>
  <c r="R83" i="24"/>
  <c r="Q83" i="24"/>
  <c r="S83" i="24" s="1"/>
  <c r="P83" i="24"/>
  <c r="E83" i="24"/>
  <c r="D83" i="24" s="1"/>
  <c r="H83" i="24" s="1"/>
  <c r="I83" i="24" s="1"/>
  <c r="V82" i="24"/>
  <c r="W82" i="24" s="1"/>
  <c r="Q82" i="24"/>
  <c r="P82" i="24"/>
  <c r="E82" i="24"/>
  <c r="I82" i="24" s="1"/>
  <c r="V81" i="24"/>
  <c r="W81" i="24" s="1"/>
  <c r="Q81" i="24"/>
  <c r="P81" i="24"/>
  <c r="E81" i="24"/>
  <c r="H81" i="24" s="1"/>
  <c r="I81" i="24" s="1"/>
  <c r="D81" i="24"/>
  <c r="W80" i="24"/>
  <c r="R80" i="24"/>
  <c r="Q80" i="24"/>
  <c r="P80" i="24"/>
  <c r="H80" i="24"/>
  <c r="G80" i="24"/>
  <c r="E80" i="24"/>
  <c r="U79" i="24"/>
  <c r="Q79" i="24"/>
  <c r="P79" i="24"/>
  <c r="E79" i="24"/>
  <c r="V78" i="24"/>
  <c r="U78" i="24"/>
  <c r="Q78" i="24"/>
  <c r="P78" i="24"/>
  <c r="S78" i="24" s="1"/>
  <c r="G78" i="24"/>
  <c r="E78" i="24"/>
  <c r="I78" i="24" s="1"/>
  <c r="W77" i="24"/>
  <c r="Q77" i="24"/>
  <c r="P77" i="24"/>
  <c r="E77" i="24"/>
  <c r="D77" i="24" s="1"/>
  <c r="H77" i="24" s="1"/>
  <c r="I77" i="24" s="1"/>
  <c r="W76" i="24"/>
  <c r="V76" i="24"/>
  <c r="Q76" i="24"/>
  <c r="P76" i="24"/>
  <c r="G76" i="24"/>
  <c r="I76" i="24" s="1"/>
  <c r="D76" i="24"/>
  <c r="E76" i="24" s="1"/>
  <c r="C76" i="24"/>
  <c r="W75" i="24"/>
  <c r="V75" i="24"/>
  <c r="Q75" i="24"/>
  <c r="P75" i="24"/>
  <c r="S75" i="24" s="1"/>
  <c r="E75" i="24"/>
  <c r="I75" i="24" s="1"/>
  <c r="V74" i="24"/>
  <c r="W74" i="24" s="1"/>
  <c r="R74" i="24"/>
  <c r="Q74" i="24"/>
  <c r="Q73" i="24" s="1"/>
  <c r="P74" i="24"/>
  <c r="D74" i="24"/>
  <c r="E74" i="24" s="1"/>
  <c r="I74" i="24" s="1"/>
  <c r="T73" i="24"/>
  <c r="O73" i="24"/>
  <c r="N73" i="24"/>
  <c r="M73" i="24"/>
  <c r="L73" i="24"/>
  <c r="K73" i="24"/>
  <c r="J73" i="24"/>
  <c r="V72" i="24"/>
  <c r="G72" i="24"/>
  <c r="U72" i="24" s="1"/>
  <c r="D72" i="24"/>
  <c r="E72" i="24" s="1"/>
  <c r="U68" i="24"/>
  <c r="R68" i="24"/>
  <c r="R67" i="24" s="1"/>
  <c r="Q68" i="24"/>
  <c r="Q67" i="24" s="1"/>
  <c r="P68" i="24"/>
  <c r="H68" i="24"/>
  <c r="V68" i="24" s="1"/>
  <c r="V67" i="24" s="1"/>
  <c r="G68" i="24"/>
  <c r="E68" i="24"/>
  <c r="E67" i="24" s="1"/>
  <c r="B158" i="24" s="1"/>
  <c r="D68" i="24"/>
  <c r="U67" i="24"/>
  <c r="T67" i="24"/>
  <c r="O67" i="24"/>
  <c r="N67" i="24"/>
  <c r="M67" i="24"/>
  <c r="L67" i="24"/>
  <c r="K67" i="24"/>
  <c r="J67" i="24"/>
  <c r="R65" i="24"/>
  <c r="Q65" i="24"/>
  <c r="Q64" i="24" s="1"/>
  <c r="P65" i="24"/>
  <c r="P64" i="24" s="1"/>
  <c r="H65" i="24"/>
  <c r="V65" i="24" s="1"/>
  <c r="D65" i="24"/>
  <c r="V64" i="24"/>
  <c r="T64" i="24"/>
  <c r="R64" i="24"/>
  <c r="O64" i="24"/>
  <c r="O57" i="24" s="1"/>
  <c r="N64" i="24"/>
  <c r="M64" i="24"/>
  <c r="L64" i="24"/>
  <c r="K64" i="24"/>
  <c r="K57" i="24" s="1"/>
  <c r="J64" i="24"/>
  <c r="U62" i="24"/>
  <c r="R62" i="24"/>
  <c r="R59" i="24" s="1"/>
  <c r="Q62" i="24"/>
  <c r="P62" i="24"/>
  <c r="P59" i="24" s="1"/>
  <c r="P57" i="24" s="1"/>
  <c r="C62" i="24"/>
  <c r="S61" i="24"/>
  <c r="R61" i="24"/>
  <c r="Q61" i="24"/>
  <c r="P61" i="24"/>
  <c r="G61" i="24"/>
  <c r="C61" i="24"/>
  <c r="R60" i="24"/>
  <c r="Q60" i="24"/>
  <c r="P60" i="24"/>
  <c r="C60" i="24"/>
  <c r="G60" i="24" s="1"/>
  <c r="U60" i="24" s="1"/>
  <c r="T59" i="24"/>
  <c r="O59" i="24"/>
  <c r="N59" i="24"/>
  <c r="N57" i="24" s="1"/>
  <c r="M59" i="24"/>
  <c r="M57" i="24" s="1"/>
  <c r="L59" i="24"/>
  <c r="L57" i="24" s="1"/>
  <c r="K59" i="24"/>
  <c r="J59" i="24"/>
  <c r="J57" i="24" s="1"/>
  <c r="R55" i="24"/>
  <c r="Q55" i="24"/>
  <c r="S55" i="24" s="1"/>
  <c r="P55" i="24"/>
  <c r="G55" i="24"/>
  <c r="U55" i="24" s="1"/>
  <c r="D55" i="24"/>
  <c r="H55" i="24" s="1"/>
  <c r="V55" i="24" s="1"/>
  <c r="C55" i="24"/>
  <c r="E55" i="24" s="1"/>
  <c r="R54" i="24"/>
  <c r="P54" i="24"/>
  <c r="G54" i="24"/>
  <c r="D54" i="24"/>
  <c r="H54" i="24" s="1"/>
  <c r="V54" i="24" s="1"/>
  <c r="C54" i="24"/>
  <c r="R53" i="24"/>
  <c r="P53" i="24"/>
  <c r="Q53" i="24" s="1"/>
  <c r="G53" i="24"/>
  <c r="U53" i="24" s="1"/>
  <c r="C53" i="24"/>
  <c r="R52" i="24"/>
  <c r="P52" i="24"/>
  <c r="C52" i="24"/>
  <c r="G52" i="24" s="1"/>
  <c r="R51" i="24"/>
  <c r="Q51" i="24"/>
  <c r="S51" i="24" s="1"/>
  <c r="P51" i="24"/>
  <c r="G51" i="24"/>
  <c r="C51" i="24"/>
  <c r="R50" i="24"/>
  <c r="P50" i="24"/>
  <c r="Q50" i="24" s="1"/>
  <c r="C50" i="24"/>
  <c r="R49" i="24"/>
  <c r="P49" i="24"/>
  <c r="Q49" i="24" s="1"/>
  <c r="C49" i="24"/>
  <c r="S48" i="24"/>
  <c r="R48" i="24"/>
  <c r="Q48" i="24"/>
  <c r="P48" i="24"/>
  <c r="G48" i="24"/>
  <c r="U48" i="24" s="1"/>
  <c r="C48" i="24"/>
  <c r="R47" i="24"/>
  <c r="Q47" i="24"/>
  <c r="S47" i="24" s="1"/>
  <c r="P47" i="24"/>
  <c r="R46" i="24"/>
  <c r="Q46" i="24"/>
  <c r="S46" i="24" s="1"/>
  <c r="P46" i="24"/>
  <c r="D46" i="24"/>
  <c r="D47" i="24" s="1"/>
  <c r="D48" i="24" s="1"/>
  <c r="C46" i="24"/>
  <c r="G46" i="24" s="1"/>
  <c r="G47" i="24" s="1"/>
  <c r="T45" i="24"/>
  <c r="O45" i="24"/>
  <c r="N45" i="24"/>
  <c r="M45" i="24"/>
  <c r="M70" i="24" s="1"/>
  <c r="L45" i="24"/>
  <c r="K45" i="24"/>
  <c r="J45" i="24"/>
  <c r="S41" i="24"/>
  <c r="R41" i="24"/>
  <c r="Q41" i="24"/>
  <c r="P41" i="24"/>
  <c r="G41" i="24"/>
  <c r="C41" i="24"/>
  <c r="R40" i="24"/>
  <c r="Q40" i="24"/>
  <c r="P40" i="24"/>
  <c r="C40" i="24"/>
  <c r="G40" i="24" s="1"/>
  <c r="U40" i="24" s="1"/>
  <c r="R39" i="24"/>
  <c r="R38" i="24" s="1"/>
  <c r="Q39" i="24"/>
  <c r="P39" i="24"/>
  <c r="G39" i="24"/>
  <c r="D39" i="24"/>
  <c r="C39" i="24"/>
  <c r="T38" i="24"/>
  <c r="O38" i="24"/>
  <c r="N38" i="24"/>
  <c r="M38" i="24"/>
  <c r="L38" i="24"/>
  <c r="K38" i="24"/>
  <c r="J38" i="24"/>
  <c r="W37" i="24"/>
  <c r="V37" i="24"/>
  <c r="U37" i="24"/>
  <c r="T37" i="24"/>
  <c r="S37" i="24"/>
  <c r="R37" i="24"/>
  <c r="Q37" i="24"/>
  <c r="P37" i="24"/>
  <c r="O37" i="24"/>
  <c r="N37" i="24"/>
  <c r="M37" i="24"/>
  <c r="L37" i="24"/>
  <c r="K37" i="24"/>
  <c r="J37" i="24"/>
  <c r="I37" i="24"/>
  <c r="V35" i="24"/>
  <c r="R35" i="24"/>
  <c r="Q35" i="24"/>
  <c r="S35" i="24" s="1"/>
  <c r="P35" i="24"/>
  <c r="G35" i="24"/>
  <c r="C35" i="24"/>
  <c r="V34" i="24"/>
  <c r="R34" i="24"/>
  <c r="Q34" i="24"/>
  <c r="P34" i="24"/>
  <c r="C34" i="24"/>
  <c r="V33" i="24"/>
  <c r="S33" i="24"/>
  <c r="R33" i="24"/>
  <c r="Q33" i="24"/>
  <c r="P33" i="24"/>
  <c r="V32" i="24"/>
  <c r="R32" i="24"/>
  <c r="Q32" i="24"/>
  <c r="P32" i="24"/>
  <c r="C32" i="24"/>
  <c r="C33" i="24" s="1"/>
  <c r="V31" i="24"/>
  <c r="W31" i="24" s="1"/>
  <c r="R31" i="24"/>
  <c r="Q31" i="24"/>
  <c r="P31" i="24"/>
  <c r="C31" i="24"/>
  <c r="G31" i="24" s="1"/>
  <c r="V30" i="24"/>
  <c r="R30" i="24"/>
  <c r="Q30" i="24"/>
  <c r="S30" i="24" s="1"/>
  <c r="P30" i="24"/>
  <c r="G30" i="24"/>
  <c r="C30" i="24"/>
  <c r="W29" i="24"/>
  <c r="V29" i="24"/>
  <c r="R29" i="24"/>
  <c r="Q29" i="24"/>
  <c r="P29" i="24"/>
  <c r="G29" i="24"/>
  <c r="D29" i="24"/>
  <c r="D30" i="24" s="1"/>
  <c r="W28" i="24"/>
  <c r="V28" i="24"/>
  <c r="R28" i="24"/>
  <c r="R27" i="24" s="1"/>
  <c r="Q28" i="24"/>
  <c r="P28" i="24"/>
  <c r="L28" i="24"/>
  <c r="K28" i="24"/>
  <c r="K27" i="24" s="1"/>
  <c r="K26" i="24" s="1"/>
  <c r="H28" i="24"/>
  <c r="C28" i="24"/>
  <c r="E28" i="24" s="1"/>
  <c r="T27" i="24"/>
  <c r="T26" i="24" s="1"/>
  <c r="O27" i="24"/>
  <c r="O26" i="24" s="1"/>
  <c r="N27" i="24"/>
  <c r="N26" i="24" s="1"/>
  <c r="M27" i="24"/>
  <c r="M26" i="24" s="1"/>
  <c r="L27" i="24"/>
  <c r="J27" i="24"/>
  <c r="J26" i="24" s="1"/>
  <c r="L26" i="24"/>
  <c r="R24" i="24"/>
  <c r="Q24" i="24"/>
  <c r="P24" i="24"/>
  <c r="K24" i="24"/>
  <c r="H24" i="24"/>
  <c r="G24" i="24"/>
  <c r="C24" i="24"/>
  <c r="R23" i="24"/>
  <c r="Q23" i="24"/>
  <c r="P23" i="24"/>
  <c r="S23" i="24" s="1"/>
  <c r="G23" i="24"/>
  <c r="D23" i="24"/>
  <c r="C23" i="24"/>
  <c r="U22" i="24"/>
  <c r="R22" i="24"/>
  <c r="Q22" i="24"/>
  <c r="S22" i="24" s="1"/>
  <c r="P22" i="24"/>
  <c r="C22" i="24"/>
  <c r="U21" i="24"/>
  <c r="R21" i="24"/>
  <c r="Q21" i="24"/>
  <c r="P21" i="24"/>
  <c r="C21" i="24"/>
  <c r="U20" i="24"/>
  <c r="R20" i="24"/>
  <c r="Q20" i="24"/>
  <c r="P20" i="24"/>
  <c r="G20" i="24"/>
  <c r="C20" i="24"/>
  <c r="U19" i="24"/>
  <c r="R19" i="24"/>
  <c r="Q19" i="24"/>
  <c r="P19" i="24"/>
  <c r="M19" i="24"/>
  <c r="M13" i="24" s="1"/>
  <c r="C19" i="24"/>
  <c r="R18" i="24"/>
  <c r="Q18" i="24"/>
  <c r="P18" i="24"/>
  <c r="S18" i="24" s="1"/>
  <c r="H18" i="24"/>
  <c r="V18" i="24" s="1"/>
  <c r="G18" i="24"/>
  <c r="U18" i="24" s="1"/>
  <c r="D18" i="24"/>
  <c r="C18" i="24"/>
  <c r="E18" i="24" s="1"/>
  <c r="S17" i="24"/>
  <c r="R17" i="24"/>
  <c r="Q17" i="24"/>
  <c r="P17" i="24"/>
  <c r="K17" i="24"/>
  <c r="G17" i="24"/>
  <c r="U17" i="24" s="1"/>
  <c r="D17" i="24"/>
  <c r="H17" i="24" s="1"/>
  <c r="S16" i="24"/>
  <c r="R16" i="24"/>
  <c r="Q16" i="24"/>
  <c r="P16" i="24"/>
  <c r="K16" i="24"/>
  <c r="D16" i="24"/>
  <c r="H16" i="24" s="1"/>
  <c r="C16" i="24"/>
  <c r="R15" i="24"/>
  <c r="Q15" i="24"/>
  <c r="P15" i="24"/>
  <c r="G15" i="24"/>
  <c r="U15" i="24" s="1"/>
  <c r="E15" i="24"/>
  <c r="D15" i="24"/>
  <c r="H15" i="24" s="1"/>
  <c r="C15" i="24"/>
  <c r="T13" i="24"/>
  <c r="O13" i="24"/>
  <c r="N13" i="24"/>
  <c r="L13" i="24"/>
  <c r="J13" i="24"/>
  <c r="P12" i="24"/>
  <c r="L12" i="24"/>
  <c r="L5" i="24" s="1"/>
  <c r="G12" i="24"/>
  <c r="C12" i="24"/>
  <c r="U11" i="24"/>
  <c r="R11" i="24"/>
  <c r="Q11" i="24"/>
  <c r="Q5" i="24" s="1"/>
  <c r="P11" i="24"/>
  <c r="G11" i="24"/>
  <c r="C11" i="24"/>
  <c r="U10" i="24"/>
  <c r="R10" i="24"/>
  <c r="Q10" i="24"/>
  <c r="P10" i="24"/>
  <c r="K10" i="24"/>
  <c r="D10" i="24" s="1"/>
  <c r="G10" i="24"/>
  <c r="C10" i="24"/>
  <c r="U9" i="24"/>
  <c r="R9" i="24"/>
  <c r="Q9" i="24"/>
  <c r="G9" i="24"/>
  <c r="C9" i="24"/>
  <c r="U8" i="24"/>
  <c r="R8" i="24"/>
  <c r="Q8" i="24"/>
  <c r="P8" i="24"/>
  <c r="S8" i="24" s="1"/>
  <c r="C8" i="24"/>
  <c r="U7" i="24"/>
  <c r="R7" i="24"/>
  <c r="Q7" i="24"/>
  <c r="P7" i="24"/>
  <c r="U6" i="24"/>
  <c r="R6" i="24"/>
  <c r="Q6" i="24"/>
  <c r="P6" i="24"/>
  <c r="N6" i="24"/>
  <c r="C6" i="24"/>
  <c r="C7" i="24" s="1"/>
  <c r="T5" i="24"/>
  <c r="R5" i="24"/>
  <c r="O5" i="24"/>
  <c r="M5" i="24"/>
  <c r="J5" i="24"/>
  <c r="L132" i="23"/>
  <c r="P132" i="23" s="1"/>
  <c r="T132" i="23" s="1"/>
  <c r="K132" i="23"/>
  <c r="O132" i="23" s="1"/>
  <c r="J132" i="23"/>
  <c r="N132" i="23" s="1"/>
  <c r="I132" i="23"/>
  <c r="M132" i="23" s="1"/>
  <c r="V126" i="23"/>
  <c r="T126" i="23"/>
  <c r="O126" i="23"/>
  <c r="N126" i="23"/>
  <c r="M126" i="23"/>
  <c r="L126" i="23"/>
  <c r="K126" i="23"/>
  <c r="J126" i="23"/>
  <c r="V124" i="23"/>
  <c r="W124" i="23" s="1"/>
  <c r="W126" i="23" s="1"/>
  <c r="R124" i="23"/>
  <c r="R126" i="23" s="1"/>
  <c r="Q124" i="23"/>
  <c r="Q126" i="23" s="1"/>
  <c r="P124" i="23"/>
  <c r="P126" i="23" s="1"/>
  <c r="D124" i="23"/>
  <c r="H124" i="23" s="1"/>
  <c r="C124" i="23"/>
  <c r="W120" i="23"/>
  <c r="V120" i="23"/>
  <c r="R120" i="23"/>
  <c r="S120" i="23" s="1"/>
  <c r="Q120" i="23"/>
  <c r="P120" i="23"/>
  <c r="I120" i="23"/>
  <c r="E120" i="23"/>
  <c r="E118" i="23" s="1"/>
  <c r="W119" i="23"/>
  <c r="V119" i="23"/>
  <c r="R119" i="23"/>
  <c r="Q119" i="23"/>
  <c r="P119" i="23"/>
  <c r="I119" i="23"/>
  <c r="E119" i="23"/>
  <c r="W118" i="23"/>
  <c r="V118" i="23"/>
  <c r="U118" i="23"/>
  <c r="T118" i="23"/>
  <c r="Q118" i="23"/>
  <c r="P118" i="23"/>
  <c r="O118" i="23"/>
  <c r="N118" i="23"/>
  <c r="M118" i="23"/>
  <c r="L118" i="23"/>
  <c r="K118" i="23"/>
  <c r="J118" i="23"/>
  <c r="I118" i="23"/>
  <c r="V116" i="23"/>
  <c r="U116" i="23"/>
  <c r="W116" i="23" s="1"/>
  <c r="W115" i="23" s="1"/>
  <c r="S116" i="23"/>
  <c r="S115" i="23" s="1"/>
  <c r="R116" i="23"/>
  <c r="Q116" i="23"/>
  <c r="P116" i="23"/>
  <c r="P115" i="23" s="1"/>
  <c r="I116" i="23"/>
  <c r="I115" i="23" s="1"/>
  <c r="E116" i="23"/>
  <c r="E115" i="23" s="1"/>
  <c r="D116" i="23"/>
  <c r="H116" i="23" s="1"/>
  <c r="C116" i="23"/>
  <c r="G116" i="23" s="1"/>
  <c r="V115" i="23"/>
  <c r="U115" i="23"/>
  <c r="T115" i="23"/>
  <c r="R115" i="23"/>
  <c r="Q115" i="23"/>
  <c r="O115" i="23"/>
  <c r="N115" i="23"/>
  <c r="M115" i="23"/>
  <c r="L115" i="23"/>
  <c r="K115" i="23"/>
  <c r="J115" i="23"/>
  <c r="W114" i="23"/>
  <c r="W112" i="23" s="1"/>
  <c r="R114" i="23"/>
  <c r="Q114" i="23"/>
  <c r="Q112" i="23" s="1"/>
  <c r="P114" i="23"/>
  <c r="E114" i="23"/>
  <c r="D114" i="23"/>
  <c r="H114" i="23" s="1"/>
  <c r="I114" i="23" s="1"/>
  <c r="I112" i="23" s="1"/>
  <c r="V112" i="23"/>
  <c r="U112" i="23"/>
  <c r="T112" i="23"/>
  <c r="P112" i="23"/>
  <c r="O112" i="23"/>
  <c r="N112" i="23"/>
  <c r="M112" i="23"/>
  <c r="L112" i="23"/>
  <c r="K112" i="23"/>
  <c r="J112" i="23"/>
  <c r="V111" i="23"/>
  <c r="W111" i="23" s="1"/>
  <c r="S111" i="23"/>
  <c r="R111" i="23"/>
  <c r="Q111" i="23"/>
  <c r="P111" i="23"/>
  <c r="I111" i="23"/>
  <c r="D111" i="23"/>
  <c r="H111" i="23" s="1"/>
  <c r="C111" i="23"/>
  <c r="G111" i="23" s="1"/>
  <c r="V110" i="23"/>
  <c r="V109" i="23" s="1"/>
  <c r="S110" i="23"/>
  <c r="R110" i="23"/>
  <c r="Q110" i="23"/>
  <c r="Q109" i="23" s="1"/>
  <c r="P110" i="23"/>
  <c r="P109" i="23" s="1"/>
  <c r="G110" i="23"/>
  <c r="E110" i="23"/>
  <c r="D110" i="23"/>
  <c r="H110" i="23" s="1"/>
  <c r="C110" i="23"/>
  <c r="T109" i="23"/>
  <c r="R109" i="23"/>
  <c r="O109" i="23"/>
  <c r="N109" i="23"/>
  <c r="M109" i="23"/>
  <c r="L109" i="23"/>
  <c r="K109" i="23"/>
  <c r="J109" i="23"/>
  <c r="W108" i="23"/>
  <c r="V108" i="23"/>
  <c r="U108" i="23"/>
  <c r="T108" i="23"/>
  <c r="S108" i="23"/>
  <c r="R108" i="23"/>
  <c r="Q108" i="23"/>
  <c r="P108" i="23"/>
  <c r="O108" i="23"/>
  <c r="N108" i="23"/>
  <c r="M108" i="23"/>
  <c r="L108" i="23"/>
  <c r="K108" i="23"/>
  <c r="J108" i="23"/>
  <c r="I108" i="23"/>
  <c r="S107" i="23"/>
  <c r="R107" i="23"/>
  <c r="R106" i="23" s="1"/>
  <c r="Q107" i="23"/>
  <c r="Q106" i="23" s="1"/>
  <c r="P107" i="23"/>
  <c r="I107" i="23"/>
  <c r="E107" i="23"/>
  <c r="E106" i="23" s="1"/>
  <c r="W106" i="23"/>
  <c r="V106" i="23"/>
  <c r="U106" i="23"/>
  <c r="T106" i="23"/>
  <c r="S106" i="23"/>
  <c r="P106" i="23"/>
  <c r="O106" i="23"/>
  <c r="N106" i="23"/>
  <c r="M106" i="23"/>
  <c r="L106" i="23"/>
  <c r="K106" i="23"/>
  <c r="J106" i="23"/>
  <c r="I106" i="23"/>
  <c r="V105" i="23"/>
  <c r="U105" i="23"/>
  <c r="W105" i="23" s="1"/>
  <c r="R105" i="23"/>
  <c r="Q105" i="23"/>
  <c r="P105" i="23"/>
  <c r="C105" i="23"/>
  <c r="R104" i="23"/>
  <c r="Q104" i="23"/>
  <c r="P104" i="23"/>
  <c r="D104" i="23"/>
  <c r="H104" i="23" s="1"/>
  <c r="V104" i="23" s="1"/>
  <c r="C104" i="23"/>
  <c r="G104" i="23" s="1"/>
  <c r="U104" i="23" s="1"/>
  <c r="W104" i="23" s="1"/>
  <c r="V103" i="23"/>
  <c r="R103" i="23"/>
  <c r="Q103" i="23"/>
  <c r="P103" i="23"/>
  <c r="D103" i="23"/>
  <c r="H103" i="23" s="1"/>
  <c r="C103" i="23"/>
  <c r="G103" i="23" s="1"/>
  <c r="U103" i="23" s="1"/>
  <c r="V102" i="23"/>
  <c r="U102" i="23"/>
  <c r="R102" i="23"/>
  <c r="Q102" i="23"/>
  <c r="P102" i="23"/>
  <c r="D102" i="23"/>
  <c r="H102" i="23" s="1"/>
  <c r="C102" i="23"/>
  <c r="G102" i="23" s="1"/>
  <c r="W101" i="23"/>
  <c r="V101" i="23"/>
  <c r="R101" i="23"/>
  <c r="Q101" i="23"/>
  <c r="P101" i="23"/>
  <c r="G101" i="23"/>
  <c r="D101" i="23"/>
  <c r="H101" i="23" s="1"/>
  <c r="I101" i="23" s="1"/>
  <c r="C101" i="23"/>
  <c r="T100" i="23"/>
  <c r="O100" i="23"/>
  <c r="N100" i="23"/>
  <c r="M100" i="23"/>
  <c r="L100" i="23"/>
  <c r="K100" i="23"/>
  <c r="J100" i="23"/>
  <c r="W99" i="23"/>
  <c r="V99" i="23"/>
  <c r="U99" i="23"/>
  <c r="T99" i="23"/>
  <c r="S99" i="23"/>
  <c r="R99" i="23"/>
  <c r="Q99" i="23"/>
  <c r="P99" i="23"/>
  <c r="O99" i="23"/>
  <c r="N99" i="23"/>
  <c r="M99" i="23"/>
  <c r="L99" i="23"/>
  <c r="K99" i="23"/>
  <c r="J99" i="23"/>
  <c r="I99" i="23"/>
  <c r="W95" i="23"/>
  <c r="H95" i="23"/>
  <c r="I95" i="23" s="1"/>
  <c r="E95" i="23"/>
  <c r="V94" i="23"/>
  <c r="U94" i="23"/>
  <c r="R94" i="23"/>
  <c r="Q94" i="23"/>
  <c r="P94" i="23"/>
  <c r="H94" i="23"/>
  <c r="I94" i="23" s="1"/>
  <c r="D94" i="23"/>
  <c r="E94" i="23" s="1"/>
  <c r="V93" i="23"/>
  <c r="U93" i="23"/>
  <c r="R93" i="23"/>
  <c r="R92" i="23" s="1"/>
  <c r="Q93" i="23"/>
  <c r="P93" i="23"/>
  <c r="I93" i="23"/>
  <c r="E93" i="23"/>
  <c r="V92" i="23"/>
  <c r="T92" i="23"/>
  <c r="O92" i="23"/>
  <c r="N92" i="23"/>
  <c r="M92" i="23"/>
  <c r="L92" i="23"/>
  <c r="K92" i="23"/>
  <c r="J92" i="23"/>
  <c r="R91" i="23"/>
  <c r="Q91" i="23"/>
  <c r="P91" i="23"/>
  <c r="I91" i="23"/>
  <c r="E91" i="23"/>
  <c r="V90" i="23"/>
  <c r="W90" i="23" s="1"/>
  <c r="R90" i="23"/>
  <c r="R88" i="23" s="1"/>
  <c r="P90" i="23"/>
  <c r="H90" i="23"/>
  <c r="I90" i="23" s="1"/>
  <c r="D90" i="23"/>
  <c r="E90" i="23" s="1"/>
  <c r="V89" i="23"/>
  <c r="W89" i="23" s="1"/>
  <c r="R89" i="23"/>
  <c r="P89" i="23"/>
  <c r="Q89" i="23" s="1"/>
  <c r="I89" i="23"/>
  <c r="I88" i="23" s="1"/>
  <c r="H89" i="23"/>
  <c r="E89" i="23"/>
  <c r="U88" i="23"/>
  <c r="T88" i="23"/>
  <c r="O88" i="23"/>
  <c r="N88" i="23"/>
  <c r="M88" i="23"/>
  <c r="L88" i="23"/>
  <c r="K88" i="23"/>
  <c r="J88" i="23"/>
  <c r="R85" i="23"/>
  <c r="Q85" i="23"/>
  <c r="P85" i="23"/>
  <c r="I85" i="23"/>
  <c r="E85" i="23"/>
  <c r="W84" i="23"/>
  <c r="Q84" i="23"/>
  <c r="P84" i="23"/>
  <c r="S84" i="23" s="1"/>
  <c r="I84" i="23"/>
  <c r="E84" i="23"/>
  <c r="W83" i="23"/>
  <c r="V83" i="23"/>
  <c r="R83" i="23"/>
  <c r="Q83" i="23"/>
  <c r="P83" i="23"/>
  <c r="S83" i="23" s="1"/>
  <c r="E83" i="23"/>
  <c r="D83" i="23" s="1"/>
  <c r="H83" i="23" s="1"/>
  <c r="I83" i="23" s="1"/>
  <c r="V82" i="23"/>
  <c r="W82" i="23" s="1"/>
  <c r="Q82" i="23"/>
  <c r="P82" i="23"/>
  <c r="E82" i="23"/>
  <c r="I82" i="23" s="1"/>
  <c r="V81" i="23"/>
  <c r="W81" i="23" s="1"/>
  <c r="S81" i="23"/>
  <c r="Q81" i="23"/>
  <c r="P81" i="23"/>
  <c r="E81" i="23"/>
  <c r="H81" i="23" s="1"/>
  <c r="I81" i="23" s="1"/>
  <c r="D81" i="23"/>
  <c r="W80" i="23"/>
  <c r="R80" i="23"/>
  <c r="Q80" i="23"/>
  <c r="P80" i="23"/>
  <c r="H80" i="23"/>
  <c r="G80" i="23"/>
  <c r="I80" i="23" s="1"/>
  <c r="E80" i="23"/>
  <c r="U79" i="23"/>
  <c r="Q79" i="23"/>
  <c r="P79" i="23"/>
  <c r="E79" i="23"/>
  <c r="D79" i="23" s="1"/>
  <c r="V78" i="23"/>
  <c r="U78" i="23"/>
  <c r="Q78" i="23"/>
  <c r="S78" i="23" s="1"/>
  <c r="P78" i="23"/>
  <c r="G78" i="23"/>
  <c r="E78" i="23"/>
  <c r="I78" i="23" s="1"/>
  <c r="W77" i="23"/>
  <c r="Q77" i="23"/>
  <c r="P77" i="23"/>
  <c r="E77" i="23"/>
  <c r="D77" i="23"/>
  <c r="H77" i="23" s="1"/>
  <c r="I77" i="23" s="1"/>
  <c r="V76" i="23"/>
  <c r="Q76" i="23"/>
  <c r="P76" i="23"/>
  <c r="S76" i="23" s="1"/>
  <c r="I76" i="23"/>
  <c r="G76" i="23"/>
  <c r="D76" i="23"/>
  <c r="E76" i="23" s="1"/>
  <c r="C76" i="23"/>
  <c r="W75" i="23"/>
  <c r="V75" i="23"/>
  <c r="Q75" i="23"/>
  <c r="P75" i="23"/>
  <c r="I75" i="23"/>
  <c r="E75" i="23"/>
  <c r="V74" i="23"/>
  <c r="W74" i="23" s="1"/>
  <c r="R74" i="23"/>
  <c r="Q74" i="23"/>
  <c r="P74" i="23"/>
  <c r="D74" i="23"/>
  <c r="E74" i="23" s="1"/>
  <c r="I74" i="23" s="1"/>
  <c r="T73" i="23"/>
  <c r="O73" i="23"/>
  <c r="N73" i="23"/>
  <c r="M73" i="23"/>
  <c r="L73" i="23"/>
  <c r="K73" i="23"/>
  <c r="J73" i="23"/>
  <c r="V72" i="23"/>
  <c r="G72" i="23"/>
  <c r="D72" i="23"/>
  <c r="E72" i="23" s="1"/>
  <c r="R68" i="23"/>
  <c r="R67" i="23" s="1"/>
  <c r="Q68" i="23"/>
  <c r="P68" i="23"/>
  <c r="G68" i="23"/>
  <c r="D68" i="23"/>
  <c r="E68" i="23" s="1"/>
  <c r="E67" i="23" s="1"/>
  <c r="B158" i="23" s="1"/>
  <c r="T67" i="23"/>
  <c r="P67" i="23"/>
  <c r="O67" i="23"/>
  <c r="N67" i="23"/>
  <c r="M67" i="23"/>
  <c r="L67" i="23"/>
  <c r="K67" i="23"/>
  <c r="J67" i="23"/>
  <c r="R65" i="23"/>
  <c r="R64" i="23" s="1"/>
  <c r="Q65" i="23"/>
  <c r="P65" i="23"/>
  <c r="D65" i="23"/>
  <c r="H65" i="23" s="1"/>
  <c r="V65" i="23" s="1"/>
  <c r="V64" i="23" s="1"/>
  <c r="T64" i="23"/>
  <c r="P64" i="23"/>
  <c r="O64" i="23"/>
  <c r="N64" i="23"/>
  <c r="M64" i="23"/>
  <c r="L64" i="23"/>
  <c r="K64" i="23"/>
  <c r="J64" i="23"/>
  <c r="U62" i="23"/>
  <c r="R62" i="23"/>
  <c r="Q62" i="23"/>
  <c r="P62" i="23"/>
  <c r="C62" i="23"/>
  <c r="R61" i="23"/>
  <c r="Q61" i="23"/>
  <c r="P61" i="23"/>
  <c r="C61" i="23"/>
  <c r="R60" i="23"/>
  <c r="Q60" i="23"/>
  <c r="P60" i="23"/>
  <c r="P59" i="23" s="1"/>
  <c r="G60" i="23"/>
  <c r="U60" i="23" s="1"/>
  <c r="C60" i="23"/>
  <c r="T59" i="23"/>
  <c r="O59" i="23"/>
  <c r="N59" i="23"/>
  <c r="N57" i="23" s="1"/>
  <c r="M59" i="23"/>
  <c r="M57" i="23" s="1"/>
  <c r="L59" i="23"/>
  <c r="K59" i="23"/>
  <c r="J59" i="23"/>
  <c r="T57" i="23"/>
  <c r="L57" i="23"/>
  <c r="J57" i="23"/>
  <c r="R55" i="23"/>
  <c r="Q55" i="23"/>
  <c r="P55" i="23"/>
  <c r="H55" i="23"/>
  <c r="V55" i="23" s="1"/>
  <c r="D55" i="23"/>
  <c r="C55" i="23"/>
  <c r="S54" i="23"/>
  <c r="R54" i="23"/>
  <c r="P54" i="23"/>
  <c r="Q54" i="23" s="1"/>
  <c r="D54" i="23"/>
  <c r="H54" i="23" s="1"/>
  <c r="V54" i="23" s="1"/>
  <c r="C54" i="23"/>
  <c r="G54" i="23" s="1"/>
  <c r="U54" i="23" s="1"/>
  <c r="R53" i="23"/>
  <c r="P53" i="23"/>
  <c r="C53" i="23"/>
  <c r="G53" i="23" s="1"/>
  <c r="U53" i="23" s="1"/>
  <c r="R52" i="23"/>
  <c r="P52" i="23"/>
  <c r="C52" i="23"/>
  <c r="G52" i="23" s="1"/>
  <c r="R51" i="23"/>
  <c r="Q51" i="23"/>
  <c r="P51" i="23"/>
  <c r="C51" i="23"/>
  <c r="G51" i="23" s="1"/>
  <c r="R50" i="23"/>
  <c r="P50" i="23"/>
  <c r="Q50" i="23" s="1"/>
  <c r="C50" i="23"/>
  <c r="R49" i="23"/>
  <c r="P49" i="23"/>
  <c r="Q49" i="23" s="1"/>
  <c r="C49" i="23"/>
  <c r="R48" i="23"/>
  <c r="Q48" i="23"/>
  <c r="S48" i="23" s="1"/>
  <c r="P48" i="23"/>
  <c r="C48" i="23"/>
  <c r="G48" i="23" s="1"/>
  <c r="U48" i="23" s="1"/>
  <c r="R47" i="23"/>
  <c r="Q47" i="23"/>
  <c r="P47" i="23"/>
  <c r="S47" i="23" s="1"/>
  <c r="R46" i="23"/>
  <c r="Q46" i="23"/>
  <c r="P46" i="23"/>
  <c r="S46" i="23" s="1"/>
  <c r="G46" i="23"/>
  <c r="G47" i="23" s="1"/>
  <c r="D46" i="23"/>
  <c r="H46" i="23" s="1"/>
  <c r="C46" i="23"/>
  <c r="T45" i="23"/>
  <c r="T70" i="23" s="1"/>
  <c r="O45" i="23"/>
  <c r="N45" i="23"/>
  <c r="N70" i="23" s="1"/>
  <c r="M45" i="23"/>
  <c r="M70" i="23" s="1"/>
  <c r="L45" i="23"/>
  <c r="K45" i="23"/>
  <c r="J45" i="23"/>
  <c r="J70" i="23" s="1"/>
  <c r="R41" i="23"/>
  <c r="Q41" i="23"/>
  <c r="P41" i="23"/>
  <c r="S41" i="23" s="1"/>
  <c r="G41" i="23"/>
  <c r="C41" i="23"/>
  <c r="R40" i="23"/>
  <c r="Q40" i="23"/>
  <c r="P40" i="23"/>
  <c r="C40" i="23"/>
  <c r="G40" i="23" s="1"/>
  <c r="U40" i="23" s="1"/>
  <c r="R39" i="23"/>
  <c r="Q39" i="23"/>
  <c r="P39" i="23"/>
  <c r="G39" i="23"/>
  <c r="D39" i="23"/>
  <c r="H39" i="23" s="1"/>
  <c r="V39" i="23" s="1"/>
  <c r="C39" i="23"/>
  <c r="T38" i="23"/>
  <c r="O38" i="23"/>
  <c r="N38" i="23"/>
  <c r="M38" i="23"/>
  <c r="L38" i="23"/>
  <c r="K38" i="23"/>
  <c r="J38" i="23"/>
  <c r="W37" i="23"/>
  <c r="V37" i="23"/>
  <c r="U37" i="23"/>
  <c r="T37" i="23"/>
  <c r="T26" i="23" s="1"/>
  <c r="S37" i="23"/>
  <c r="R37" i="23"/>
  <c r="Q37" i="23"/>
  <c r="P37" i="23"/>
  <c r="O37" i="23"/>
  <c r="N37" i="23"/>
  <c r="M37" i="23"/>
  <c r="L37" i="23"/>
  <c r="K37" i="23"/>
  <c r="J37" i="23"/>
  <c r="I37" i="23"/>
  <c r="V35" i="23"/>
  <c r="R35" i="23"/>
  <c r="Q35" i="23"/>
  <c r="P35" i="23"/>
  <c r="G35" i="23"/>
  <c r="C35" i="23"/>
  <c r="V34" i="23"/>
  <c r="R34" i="23"/>
  <c r="Q34" i="23"/>
  <c r="P34" i="23"/>
  <c r="C34" i="23"/>
  <c r="V33" i="23"/>
  <c r="R33" i="23"/>
  <c r="Q33" i="23"/>
  <c r="P33" i="23"/>
  <c r="S33" i="23" s="1"/>
  <c r="V32" i="23"/>
  <c r="R32" i="23"/>
  <c r="Q32" i="23"/>
  <c r="P32" i="23"/>
  <c r="S32" i="23" s="1"/>
  <c r="C32" i="23"/>
  <c r="C33" i="23" s="1"/>
  <c r="V31" i="23"/>
  <c r="W31" i="23" s="1"/>
  <c r="R31" i="23"/>
  <c r="Q31" i="23"/>
  <c r="P31" i="23"/>
  <c r="C31" i="23"/>
  <c r="G31" i="23" s="1"/>
  <c r="V30" i="23"/>
  <c r="R30" i="23"/>
  <c r="Q30" i="23"/>
  <c r="P30" i="23"/>
  <c r="C30" i="23"/>
  <c r="E30" i="23" s="1"/>
  <c r="W29" i="23"/>
  <c r="V29" i="23"/>
  <c r="R29" i="23"/>
  <c r="Q29" i="23"/>
  <c r="S29" i="23" s="1"/>
  <c r="P29" i="23"/>
  <c r="G29" i="23"/>
  <c r="D29" i="23"/>
  <c r="D30" i="23" s="1"/>
  <c r="W28" i="23"/>
  <c r="V28" i="23"/>
  <c r="R28" i="23"/>
  <c r="Q28" i="23"/>
  <c r="P28" i="23"/>
  <c r="L28" i="23"/>
  <c r="L27" i="23" s="1"/>
  <c r="L26" i="23" s="1"/>
  <c r="L42" i="23" s="1"/>
  <c r="K28" i="23"/>
  <c r="H28" i="23"/>
  <c r="H29" i="23" s="1"/>
  <c r="E28" i="23"/>
  <c r="C28" i="23"/>
  <c r="C29" i="23" s="1"/>
  <c r="E29" i="23" s="1"/>
  <c r="T27" i="23"/>
  <c r="O27" i="23"/>
  <c r="O26" i="23" s="1"/>
  <c r="O42" i="23" s="1"/>
  <c r="N27" i="23"/>
  <c r="N26" i="23" s="1"/>
  <c r="M27" i="23"/>
  <c r="K27" i="23"/>
  <c r="K26" i="23" s="1"/>
  <c r="J27" i="23"/>
  <c r="J26" i="23" s="1"/>
  <c r="M26" i="23"/>
  <c r="R24" i="23"/>
  <c r="Q24" i="23"/>
  <c r="P24" i="23"/>
  <c r="K24" i="23"/>
  <c r="H24" i="23"/>
  <c r="G24" i="23"/>
  <c r="C24" i="23"/>
  <c r="R23" i="23"/>
  <c r="Q23" i="23"/>
  <c r="P23" i="23"/>
  <c r="S23" i="23" s="1"/>
  <c r="G23" i="23"/>
  <c r="U23" i="23" s="1"/>
  <c r="E23" i="23"/>
  <c r="D23" i="23"/>
  <c r="H23" i="23" s="1"/>
  <c r="I23" i="23" s="1"/>
  <c r="C23" i="23"/>
  <c r="U22" i="23"/>
  <c r="R22" i="23"/>
  <c r="Q22" i="23"/>
  <c r="P22" i="23"/>
  <c r="C22" i="23"/>
  <c r="U21" i="23"/>
  <c r="R21" i="23"/>
  <c r="Q21" i="23"/>
  <c r="P21" i="23"/>
  <c r="C21" i="23"/>
  <c r="U20" i="23"/>
  <c r="R20" i="23"/>
  <c r="Q20" i="23"/>
  <c r="P20" i="23"/>
  <c r="S20" i="23" s="1"/>
  <c r="G20" i="23"/>
  <c r="C20" i="23"/>
  <c r="U19" i="23"/>
  <c r="R19" i="23"/>
  <c r="Q19" i="23"/>
  <c r="P19" i="23"/>
  <c r="S19" i="23" s="1"/>
  <c r="M19" i="23"/>
  <c r="M13" i="23" s="1"/>
  <c r="M42" i="23" s="1"/>
  <c r="C19" i="23"/>
  <c r="R18" i="23"/>
  <c r="Q18" i="23"/>
  <c r="P18" i="23"/>
  <c r="G18" i="23"/>
  <c r="U18" i="23" s="1"/>
  <c r="D18" i="23"/>
  <c r="C18" i="23"/>
  <c r="R17" i="23"/>
  <c r="Q17" i="23"/>
  <c r="P17" i="23"/>
  <c r="G17" i="23"/>
  <c r="U17" i="23" s="1"/>
  <c r="D17" i="23"/>
  <c r="H17" i="23" s="1"/>
  <c r="V17" i="23" s="1"/>
  <c r="R16" i="23"/>
  <c r="Q16" i="23"/>
  <c r="P16" i="23"/>
  <c r="D16" i="23"/>
  <c r="H16" i="23" s="1"/>
  <c r="C16" i="23"/>
  <c r="R15" i="23"/>
  <c r="Q15" i="23"/>
  <c r="P15" i="23"/>
  <c r="H15" i="23"/>
  <c r="G15" i="23"/>
  <c r="U15" i="23" s="1"/>
  <c r="E15" i="23"/>
  <c r="D15" i="23"/>
  <c r="C15" i="23"/>
  <c r="T13" i="23"/>
  <c r="O13" i="23"/>
  <c r="N13" i="23"/>
  <c r="L13" i="23"/>
  <c r="J13" i="23"/>
  <c r="P12" i="23"/>
  <c r="L12" i="23"/>
  <c r="K12" i="23"/>
  <c r="D12" i="23" s="1"/>
  <c r="C12" i="23"/>
  <c r="G12" i="23" s="1"/>
  <c r="U11" i="23"/>
  <c r="R11" i="23"/>
  <c r="Q11" i="23"/>
  <c r="S11" i="23" s="1"/>
  <c r="P11" i="23"/>
  <c r="G11" i="23"/>
  <c r="C11" i="23"/>
  <c r="U10" i="23"/>
  <c r="R10" i="23"/>
  <c r="Q10" i="23"/>
  <c r="P10" i="23"/>
  <c r="S10" i="23" s="1"/>
  <c r="G10" i="23"/>
  <c r="C10" i="23"/>
  <c r="U9" i="23"/>
  <c r="R9" i="23"/>
  <c r="Q9" i="23"/>
  <c r="G9" i="23"/>
  <c r="C9" i="23"/>
  <c r="U8" i="23"/>
  <c r="R8" i="23"/>
  <c r="Q8" i="23"/>
  <c r="P8" i="23"/>
  <c r="C8" i="23"/>
  <c r="U7" i="23"/>
  <c r="R7" i="23"/>
  <c r="R5" i="23" s="1"/>
  <c r="Q7" i="23"/>
  <c r="S7" i="23" s="1"/>
  <c r="P7" i="23"/>
  <c r="C7" i="23"/>
  <c r="G7" i="23" s="1"/>
  <c r="U6" i="23"/>
  <c r="R6" i="23"/>
  <c r="Q6" i="23"/>
  <c r="P6" i="23"/>
  <c r="N6" i="23"/>
  <c r="K19" i="23" s="1"/>
  <c r="D19" i="23" s="1"/>
  <c r="C6" i="23"/>
  <c r="G6" i="23" s="1"/>
  <c r="U5" i="23"/>
  <c r="T5" i="23"/>
  <c r="O5" i="23"/>
  <c r="M5" i="23"/>
  <c r="L5" i="23"/>
  <c r="J5" i="23"/>
  <c r="I109" i="22"/>
  <c r="J107" i="22"/>
  <c r="I107" i="22"/>
  <c r="K107" i="22" s="1"/>
  <c r="I104" i="22"/>
  <c r="E104" i="22"/>
  <c r="I103" i="22"/>
  <c r="E103" i="22"/>
  <c r="I102" i="22"/>
  <c r="E102" i="22"/>
  <c r="C101" i="22"/>
  <c r="K99" i="22"/>
  <c r="I99" i="22"/>
  <c r="G99" i="22"/>
  <c r="E99" i="22"/>
  <c r="K98" i="22"/>
  <c r="I98" i="22"/>
  <c r="G98" i="22"/>
  <c r="E98" i="22"/>
  <c r="I97" i="22"/>
  <c r="G97" i="22" s="1"/>
  <c r="E97" i="22"/>
  <c r="I96" i="22"/>
  <c r="E96" i="22"/>
  <c r="I95" i="22"/>
  <c r="E95" i="22"/>
  <c r="I94" i="22"/>
  <c r="K94" i="22" s="1"/>
  <c r="G94" i="22"/>
  <c r="E94" i="22"/>
  <c r="I93" i="22"/>
  <c r="K93" i="22" s="1"/>
  <c r="E93" i="22"/>
  <c r="C92" i="22"/>
  <c r="K91" i="22"/>
  <c r="I91" i="22"/>
  <c r="G91" i="22" s="1"/>
  <c r="E91" i="22"/>
  <c r="K90" i="22"/>
  <c r="I90" i="22"/>
  <c r="G90" i="22" s="1"/>
  <c r="E90" i="22"/>
  <c r="I89" i="22"/>
  <c r="G89" i="22" s="1"/>
  <c r="E89" i="22"/>
  <c r="I88" i="22"/>
  <c r="K88" i="22" s="1"/>
  <c r="G88" i="22"/>
  <c r="E88" i="22"/>
  <c r="I87" i="22"/>
  <c r="K87" i="22" s="1"/>
  <c r="E87" i="22"/>
  <c r="E86" i="22" s="1"/>
  <c r="I86" i="22"/>
  <c r="I85" i="22"/>
  <c r="J82" i="22"/>
  <c r="I82" i="22"/>
  <c r="K82" i="22" s="1"/>
  <c r="E82" i="22"/>
  <c r="J81" i="22"/>
  <c r="I81" i="22"/>
  <c r="G81" i="22" s="1"/>
  <c r="E81" i="22"/>
  <c r="I80" i="22"/>
  <c r="J79" i="22"/>
  <c r="I79" i="22"/>
  <c r="G79" i="22" s="1"/>
  <c r="E79" i="22"/>
  <c r="K78" i="22"/>
  <c r="J78" i="22"/>
  <c r="I78" i="22"/>
  <c r="G78" i="22" s="1"/>
  <c r="E78" i="22"/>
  <c r="K77" i="22"/>
  <c r="J77" i="22"/>
  <c r="I77" i="22"/>
  <c r="E77" i="22"/>
  <c r="D77" i="22" s="1"/>
  <c r="C77" i="22"/>
  <c r="I74" i="22"/>
  <c r="I73" i="22"/>
  <c r="I72" i="22"/>
  <c r="I71" i="22"/>
  <c r="E71" i="22"/>
  <c r="I70" i="22"/>
  <c r="G70" i="22" s="1"/>
  <c r="E70" i="22"/>
  <c r="J69" i="22"/>
  <c r="I69" i="22"/>
  <c r="K69" i="22" s="1"/>
  <c r="E69" i="22"/>
  <c r="J68" i="22"/>
  <c r="I68" i="22"/>
  <c r="G68" i="22" s="1"/>
  <c r="E68" i="22"/>
  <c r="J67" i="22"/>
  <c r="I67" i="22"/>
  <c r="G67" i="22" s="1"/>
  <c r="E67" i="22"/>
  <c r="I66" i="22"/>
  <c r="K66" i="22" s="1"/>
  <c r="E66" i="22"/>
  <c r="J65" i="22"/>
  <c r="I65" i="22"/>
  <c r="C65" i="22"/>
  <c r="I64" i="22"/>
  <c r="I75" i="22" s="1"/>
  <c r="E64" i="22"/>
  <c r="I61" i="22"/>
  <c r="J59" i="22"/>
  <c r="I59" i="22"/>
  <c r="K59" i="22" s="1"/>
  <c r="G59" i="22"/>
  <c r="C59" i="22"/>
  <c r="E59" i="22" s="1"/>
  <c r="I58" i="22"/>
  <c r="E58" i="22"/>
  <c r="I57" i="22"/>
  <c r="G57" i="22" s="1"/>
  <c r="C57" i="22"/>
  <c r="E57" i="22" s="1"/>
  <c r="I56" i="22"/>
  <c r="E56" i="22"/>
  <c r="C56" i="22"/>
  <c r="J55" i="22"/>
  <c r="I55" i="22"/>
  <c r="G55" i="22" s="1"/>
  <c r="C55" i="22"/>
  <c r="J54" i="22"/>
  <c r="I54" i="22"/>
  <c r="G54" i="22" s="1"/>
  <c r="E54" i="22"/>
  <c r="C54" i="22"/>
  <c r="J53" i="22"/>
  <c r="I53" i="22"/>
  <c r="C53" i="22"/>
  <c r="E53" i="22" s="1"/>
  <c r="J51" i="22"/>
  <c r="I51" i="22"/>
  <c r="G51" i="22" s="1"/>
  <c r="E51" i="22"/>
  <c r="J50" i="22"/>
  <c r="I50" i="22"/>
  <c r="K50" i="22" s="1"/>
  <c r="E50" i="22"/>
  <c r="I49" i="22"/>
  <c r="G49" i="22" s="1"/>
  <c r="E49" i="22"/>
  <c r="I48" i="22"/>
  <c r="I47" i="22"/>
  <c r="K43" i="22"/>
  <c r="J43" i="22"/>
  <c r="I43" i="22"/>
  <c r="G43" i="22"/>
  <c r="E43" i="22"/>
  <c r="C43" i="22"/>
  <c r="I42" i="22"/>
  <c r="E42" i="22"/>
  <c r="I41" i="22"/>
  <c r="G41" i="22" s="1"/>
  <c r="C41" i="22"/>
  <c r="E41" i="22" s="1"/>
  <c r="K40" i="22"/>
  <c r="J40" i="22"/>
  <c r="I40" i="22"/>
  <c r="G40" i="22" s="1"/>
  <c r="E40" i="22"/>
  <c r="C40" i="22"/>
  <c r="J39" i="22"/>
  <c r="I39" i="22"/>
  <c r="K39" i="22" s="1"/>
  <c r="G39" i="22"/>
  <c r="C39" i="22"/>
  <c r="E39" i="22" s="1"/>
  <c r="J38" i="22"/>
  <c r="I38" i="22"/>
  <c r="G38" i="22"/>
  <c r="C38" i="22"/>
  <c r="E38" i="22" s="1"/>
  <c r="J37" i="22"/>
  <c r="I37" i="22"/>
  <c r="G37" i="22"/>
  <c r="C37" i="22"/>
  <c r="I33" i="22"/>
  <c r="K33" i="22" s="1"/>
  <c r="G33" i="22"/>
  <c r="E33" i="22"/>
  <c r="I32" i="22"/>
  <c r="K32" i="22" s="1"/>
  <c r="E32" i="22"/>
  <c r="J31" i="22"/>
  <c r="I31" i="22"/>
  <c r="E31" i="22"/>
  <c r="I30" i="22"/>
  <c r="E30" i="22"/>
  <c r="J29" i="22"/>
  <c r="C29" i="22"/>
  <c r="E26" i="22"/>
  <c r="D26" i="22"/>
  <c r="C26" i="22"/>
  <c r="J25" i="22"/>
  <c r="I25" i="22"/>
  <c r="H25" i="22"/>
  <c r="E25" i="22"/>
  <c r="J24" i="22"/>
  <c r="K24" i="22" s="1"/>
  <c r="I24" i="22"/>
  <c r="G24" i="22"/>
  <c r="E24" i="22"/>
  <c r="J23" i="22"/>
  <c r="I23" i="22"/>
  <c r="E23" i="22"/>
  <c r="J22" i="22"/>
  <c r="I22" i="22"/>
  <c r="E22" i="22"/>
  <c r="J21" i="22"/>
  <c r="C21" i="22"/>
  <c r="J19" i="22"/>
  <c r="I19" i="22"/>
  <c r="G19" i="22" s="1"/>
  <c r="E19" i="22"/>
  <c r="I18" i="22"/>
  <c r="K18" i="22" s="1"/>
  <c r="G18" i="22"/>
  <c r="E18" i="22"/>
  <c r="J17" i="22"/>
  <c r="I17" i="22"/>
  <c r="G17" i="22" s="1"/>
  <c r="E17" i="22"/>
  <c r="I16" i="22"/>
  <c r="G16" i="22" s="1"/>
  <c r="E16" i="22"/>
  <c r="I15" i="22"/>
  <c r="G15" i="22"/>
  <c r="E15" i="22"/>
  <c r="I14" i="22"/>
  <c r="G14" i="22" s="1"/>
  <c r="E14" i="22"/>
  <c r="I13" i="22"/>
  <c r="G13" i="22" s="1"/>
  <c r="E13" i="22"/>
  <c r="K12" i="22"/>
  <c r="I12" i="22"/>
  <c r="G12" i="22" s="1"/>
  <c r="E12" i="22"/>
  <c r="K11" i="22"/>
  <c r="I11" i="22"/>
  <c r="G11" i="22" s="1"/>
  <c r="E11" i="22"/>
  <c r="J10" i="22"/>
  <c r="I10" i="22"/>
  <c r="E10" i="22"/>
  <c r="C9" i="22"/>
  <c r="I109" i="20"/>
  <c r="I107" i="20"/>
  <c r="K106" i="20"/>
  <c r="J106" i="20"/>
  <c r="I106" i="20"/>
  <c r="I108" i="20" s="1"/>
  <c r="I105" i="20"/>
  <c r="I104" i="20"/>
  <c r="E104" i="20"/>
  <c r="I103" i="20"/>
  <c r="E103" i="20"/>
  <c r="I102" i="20"/>
  <c r="E102" i="20"/>
  <c r="E101" i="20" s="1"/>
  <c r="E105" i="20" s="1"/>
  <c r="C101" i="20"/>
  <c r="I100" i="20"/>
  <c r="I99" i="20"/>
  <c r="G99" i="20" s="1"/>
  <c r="E99" i="20"/>
  <c r="I98" i="20"/>
  <c r="G98" i="20"/>
  <c r="E98" i="20"/>
  <c r="I97" i="20"/>
  <c r="G97" i="20"/>
  <c r="E97" i="20"/>
  <c r="I96" i="20"/>
  <c r="G96" i="20" s="1"/>
  <c r="E96" i="20"/>
  <c r="I95" i="20"/>
  <c r="E95" i="20"/>
  <c r="I94" i="20"/>
  <c r="E94" i="20"/>
  <c r="I93" i="20"/>
  <c r="G93" i="20" s="1"/>
  <c r="E93" i="20"/>
  <c r="C92" i="20"/>
  <c r="I91" i="20"/>
  <c r="G91" i="20" s="1"/>
  <c r="E91" i="20"/>
  <c r="I90" i="20"/>
  <c r="G90" i="20" s="1"/>
  <c r="E90" i="20"/>
  <c r="I89" i="20"/>
  <c r="G89" i="20" s="1"/>
  <c r="E89" i="20"/>
  <c r="I88" i="20"/>
  <c r="E88" i="20"/>
  <c r="I87" i="20"/>
  <c r="G87" i="20" s="1"/>
  <c r="E87" i="20"/>
  <c r="I86" i="20"/>
  <c r="E86" i="20"/>
  <c r="I85" i="20"/>
  <c r="I83" i="20"/>
  <c r="I82" i="20"/>
  <c r="G82" i="20" s="1"/>
  <c r="E82" i="20"/>
  <c r="I81" i="20"/>
  <c r="G81" i="20" s="1"/>
  <c r="E81" i="20"/>
  <c r="I80" i="20"/>
  <c r="I79" i="20"/>
  <c r="G79" i="20" s="1"/>
  <c r="E79" i="20"/>
  <c r="I78" i="20"/>
  <c r="E78" i="20"/>
  <c r="I77" i="20"/>
  <c r="C77" i="20"/>
  <c r="E75" i="20"/>
  <c r="I74" i="20"/>
  <c r="I73" i="20"/>
  <c r="I72" i="20"/>
  <c r="I71" i="20"/>
  <c r="E71" i="20"/>
  <c r="I70" i="20"/>
  <c r="E70" i="20"/>
  <c r="I69" i="20"/>
  <c r="E69" i="20"/>
  <c r="I68" i="20"/>
  <c r="E68" i="20"/>
  <c r="I67" i="20"/>
  <c r="E67" i="20"/>
  <c r="I66" i="20"/>
  <c r="E66" i="20"/>
  <c r="I65" i="20"/>
  <c r="E65" i="20"/>
  <c r="D65" i="20" s="1"/>
  <c r="C65" i="20"/>
  <c r="I64" i="20"/>
  <c r="I75" i="20" s="1"/>
  <c r="E64" i="20"/>
  <c r="I61" i="20"/>
  <c r="I59" i="20"/>
  <c r="K59" i="20" s="1"/>
  <c r="C59" i="20"/>
  <c r="E59" i="20" s="1"/>
  <c r="I58" i="20"/>
  <c r="E58" i="20"/>
  <c r="I57" i="20"/>
  <c r="C57" i="20"/>
  <c r="E57" i="20" s="1"/>
  <c r="I56" i="20"/>
  <c r="G56" i="20" s="1"/>
  <c r="C56" i="20"/>
  <c r="E56" i="20" s="1"/>
  <c r="I55" i="20"/>
  <c r="C55" i="20"/>
  <c r="E55" i="20" s="1"/>
  <c r="I54" i="20"/>
  <c r="G54" i="20"/>
  <c r="E54" i="20"/>
  <c r="C54" i="20"/>
  <c r="I53" i="20"/>
  <c r="C53" i="20"/>
  <c r="I51" i="20"/>
  <c r="E51" i="20"/>
  <c r="I50" i="20"/>
  <c r="G50" i="20" s="1"/>
  <c r="E50" i="20"/>
  <c r="I49" i="20"/>
  <c r="G49" i="20" s="1"/>
  <c r="E49" i="20"/>
  <c r="I48" i="20"/>
  <c r="I47" i="20"/>
  <c r="I62" i="20" s="1"/>
  <c r="I43" i="20"/>
  <c r="G43" i="20" s="1"/>
  <c r="C43" i="20"/>
  <c r="E43" i="20" s="1"/>
  <c r="I42" i="20"/>
  <c r="E42" i="20"/>
  <c r="I41" i="20"/>
  <c r="G41" i="20" s="1"/>
  <c r="C41" i="20"/>
  <c r="E41" i="20" s="1"/>
  <c r="I40" i="20"/>
  <c r="G40" i="20"/>
  <c r="E40" i="20"/>
  <c r="C40" i="20"/>
  <c r="I39" i="20"/>
  <c r="G39" i="20"/>
  <c r="C39" i="20"/>
  <c r="E39" i="20" s="1"/>
  <c r="I38" i="20"/>
  <c r="G38" i="20" s="1"/>
  <c r="C38" i="20"/>
  <c r="E38" i="20" s="1"/>
  <c r="I37" i="20"/>
  <c r="G37" i="20" s="1"/>
  <c r="C37" i="20"/>
  <c r="I36" i="20"/>
  <c r="I33" i="20"/>
  <c r="G33" i="20" s="1"/>
  <c r="E33" i="20"/>
  <c r="I32" i="20"/>
  <c r="G32" i="20" s="1"/>
  <c r="E32" i="20"/>
  <c r="I31" i="20"/>
  <c r="E31" i="20"/>
  <c r="I30" i="20"/>
  <c r="E30" i="20"/>
  <c r="E29" i="20" s="1"/>
  <c r="C29" i="20"/>
  <c r="E26" i="20"/>
  <c r="D26" i="20"/>
  <c r="C26" i="20"/>
  <c r="I25" i="20"/>
  <c r="E25" i="20"/>
  <c r="I24" i="20"/>
  <c r="E24" i="20"/>
  <c r="I23" i="20"/>
  <c r="E23" i="20"/>
  <c r="I22" i="20"/>
  <c r="G22" i="20"/>
  <c r="E22" i="20"/>
  <c r="I21" i="20"/>
  <c r="C21" i="20"/>
  <c r="I19" i="20"/>
  <c r="G19" i="20"/>
  <c r="E19" i="20"/>
  <c r="I18" i="20"/>
  <c r="E18" i="20"/>
  <c r="I17" i="20"/>
  <c r="E17" i="20"/>
  <c r="I16" i="20"/>
  <c r="E16" i="20"/>
  <c r="I15" i="20"/>
  <c r="E15" i="20"/>
  <c r="I14" i="20"/>
  <c r="E14" i="20"/>
  <c r="I13" i="20"/>
  <c r="E13" i="20"/>
  <c r="I12" i="20"/>
  <c r="E12" i="20"/>
  <c r="I11" i="20"/>
  <c r="E11" i="20"/>
  <c r="I10" i="20"/>
  <c r="E10" i="20"/>
  <c r="I9" i="20"/>
  <c r="C9" i="20"/>
  <c r="C8" i="20" s="1"/>
  <c r="I8" i="20"/>
  <c r="I110" i="19"/>
  <c r="I112" i="19" s="1"/>
  <c r="K109" i="19"/>
  <c r="J109" i="22" s="1"/>
  <c r="J109" i="19"/>
  <c r="I109" i="19"/>
  <c r="I108" i="19"/>
  <c r="K107" i="19"/>
  <c r="J107" i="20" s="1"/>
  <c r="J108" i="20" s="1"/>
  <c r="J107" i="19"/>
  <c r="I107" i="19"/>
  <c r="J106" i="19"/>
  <c r="J108" i="19" s="1"/>
  <c r="J110" i="19" s="1"/>
  <c r="J112" i="19" s="1"/>
  <c r="I106" i="19"/>
  <c r="K106" i="19" s="1"/>
  <c r="J105" i="19"/>
  <c r="I105" i="19"/>
  <c r="K105" i="19" s="1"/>
  <c r="J105" i="20" s="1"/>
  <c r="K105" i="20" s="1"/>
  <c r="K104" i="19"/>
  <c r="J104" i="19"/>
  <c r="I104" i="19"/>
  <c r="E104" i="19"/>
  <c r="K103" i="19"/>
  <c r="J103" i="19"/>
  <c r="I103" i="19"/>
  <c r="E103" i="19"/>
  <c r="K102" i="19"/>
  <c r="J102" i="20" s="1"/>
  <c r="J102" i="19"/>
  <c r="I102" i="19"/>
  <c r="E102" i="19"/>
  <c r="E101" i="19" s="1"/>
  <c r="C101" i="19"/>
  <c r="J100" i="19"/>
  <c r="I100" i="19"/>
  <c r="K99" i="19"/>
  <c r="J99" i="20" s="1"/>
  <c r="K99" i="20" s="1"/>
  <c r="J99" i="19"/>
  <c r="I99" i="19"/>
  <c r="E99" i="19"/>
  <c r="K98" i="19"/>
  <c r="J98" i="20" s="1"/>
  <c r="K98" i="20" s="1"/>
  <c r="J98" i="19"/>
  <c r="I98" i="19"/>
  <c r="E98" i="19"/>
  <c r="K97" i="19"/>
  <c r="J97" i="19"/>
  <c r="I97" i="19"/>
  <c r="E97" i="19"/>
  <c r="K96" i="19"/>
  <c r="J96" i="20" s="1"/>
  <c r="J96" i="19"/>
  <c r="I96" i="19"/>
  <c r="E96" i="19"/>
  <c r="K95" i="19"/>
  <c r="J95" i="20" s="1"/>
  <c r="J95" i="19"/>
  <c r="I95" i="19"/>
  <c r="E95" i="19"/>
  <c r="K94" i="19"/>
  <c r="J94" i="20" s="1"/>
  <c r="J94" i="19"/>
  <c r="I94" i="19"/>
  <c r="E94" i="19"/>
  <c r="K93" i="19"/>
  <c r="J93" i="20" s="1"/>
  <c r="K93" i="20" s="1"/>
  <c r="J93" i="19"/>
  <c r="I93" i="19"/>
  <c r="E93" i="19"/>
  <c r="K92" i="19"/>
  <c r="J92" i="19"/>
  <c r="I92" i="19"/>
  <c r="E92" i="19"/>
  <c r="D92" i="19" s="1"/>
  <c r="C92" i="19"/>
  <c r="J91" i="19"/>
  <c r="I91" i="19"/>
  <c r="K91" i="19" s="1"/>
  <c r="J91" i="20" s="1"/>
  <c r="K91" i="20" s="1"/>
  <c r="E91" i="19"/>
  <c r="J90" i="19"/>
  <c r="I90" i="19"/>
  <c r="K90" i="19" s="1"/>
  <c r="J90" i="20" s="1"/>
  <c r="K90" i="20" s="1"/>
  <c r="E90" i="19"/>
  <c r="J89" i="19"/>
  <c r="I89" i="19"/>
  <c r="E89" i="19"/>
  <c r="J88" i="19"/>
  <c r="I88" i="19"/>
  <c r="E88" i="19"/>
  <c r="J87" i="19"/>
  <c r="I87" i="19"/>
  <c r="K87" i="19" s="1"/>
  <c r="J87" i="20" s="1"/>
  <c r="K87" i="20" s="1"/>
  <c r="E87" i="19"/>
  <c r="J86" i="19"/>
  <c r="I86" i="19"/>
  <c r="K86" i="19" s="1"/>
  <c r="J86" i="20" s="1"/>
  <c r="K86" i="20" s="1"/>
  <c r="E86" i="19"/>
  <c r="J85" i="19"/>
  <c r="I85" i="19"/>
  <c r="J83" i="19"/>
  <c r="I83" i="19"/>
  <c r="K83" i="19" s="1"/>
  <c r="J83" i="20" s="1"/>
  <c r="K83" i="20" s="1"/>
  <c r="J82" i="19"/>
  <c r="I82" i="19"/>
  <c r="K82" i="19" s="1"/>
  <c r="J82" i="20" s="1"/>
  <c r="K82" i="20" s="1"/>
  <c r="E82" i="19"/>
  <c r="J81" i="19"/>
  <c r="I81" i="19"/>
  <c r="K81" i="19" s="1"/>
  <c r="J81" i="20" s="1"/>
  <c r="K81" i="20" s="1"/>
  <c r="E81" i="19"/>
  <c r="J80" i="19"/>
  <c r="I80" i="19"/>
  <c r="K80" i="19" s="1"/>
  <c r="J79" i="19"/>
  <c r="K79" i="19" s="1"/>
  <c r="J79" i="20" s="1"/>
  <c r="K79" i="20" s="1"/>
  <c r="I79" i="19"/>
  <c r="E79" i="19"/>
  <c r="J78" i="19"/>
  <c r="I78" i="19"/>
  <c r="E78" i="19"/>
  <c r="J77" i="19"/>
  <c r="I77" i="19"/>
  <c r="E77" i="19"/>
  <c r="C77" i="19"/>
  <c r="J75" i="19"/>
  <c r="J74" i="19"/>
  <c r="I74" i="19"/>
  <c r="J73" i="19"/>
  <c r="I73" i="19"/>
  <c r="K73" i="19" s="1"/>
  <c r="J73" i="22" s="1"/>
  <c r="J72" i="19"/>
  <c r="I72" i="19"/>
  <c r="K72" i="19" s="1"/>
  <c r="J71" i="19"/>
  <c r="I71" i="19"/>
  <c r="E71" i="19"/>
  <c r="J70" i="19"/>
  <c r="I70" i="19"/>
  <c r="K70" i="19" s="1"/>
  <c r="E70" i="19"/>
  <c r="J69" i="19"/>
  <c r="I69" i="19"/>
  <c r="E69" i="19"/>
  <c r="J68" i="19"/>
  <c r="I68" i="19"/>
  <c r="E68" i="19"/>
  <c r="J67" i="19"/>
  <c r="I67" i="19"/>
  <c r="E67" i="19"/>
  <c r="J66" i="19"/>
  <c r="I66" i="19"/>
  <c r="K66" i="19" s="1"/>
  <c r="J66" i="20" s="1"/>
  <c r="E66" i="19"/>
  <c r="J65" i="19"/>
  <c r="I65" i="19"/>
  <c r="E65" i="19"/>
  <c r="C65" i="19"/>
  <c r="J64" i="19"/>
  <c r="I64" i="19"/>
  <c r="K64" i="19" s="1"/>
  <c r="E64" i="19"/>
  <c r="J62" i="19"/>
  <c r="J61" i="19"/>
  <c r="K61" i="19" s="1"/>
  <c r="I61" i="19"/>
  <c r="J60" i="19"/>
  <c r="K60" i="19" s="1"/>
  <c r="J59" i="19"/>
  <c r="I59" i="19"/>
  <c r="K59" i="19" s="1"/>
  <c r="J59" i="20" s="1"/>
  <c r="C59" i="19"/>
  <c r="E59" i="19" s="1"/>
  <c r="J58" i="19"/>
  <c r="I58" i="19"/>
  <c r="E58" i="19"/>
  <c r="J57" i="19"/>
  <c r="I57" i="19"/>
  <c r="E57" i="19"/>
  <c r="C57" i="19"/>
  <c r="J56" i="19"/>
  <c r="I56" i="19"/>
  <c r="K56" i="19" s="1"/>
  <c r="J56" i="20" s="1"/>
  <c r="K56" i="20" s="1"/>
  <c r="C56" i="19"/>
  <c r="E56" i="19" s="1"/>
  <c r="J55" i="19"/>
  <c r="I55" i="19"/>
  <c r="K55" i="19" s="1"/>
  <c r="J55" i="20" s="1"/>
  <c r="C55" i="19"/>
  <c r="J54" i="19"/>
  <c r="I54" i="19"/>
  <c r="K54" i="19" s="1"/>
  <c r="J54" i="20" s="1"/>
  <c r="K54" i="20" s="1"/>
  <c r="E54" i="19"/>
  <c r="C54" i="19"/>
  <c r="J53" i="19"/>
  <c r="I53" i="19"/>
  <c r="E53" i="19"/>
  <c r="C53" i="19"/>
  <c r="J52" i="19"/>
  <c r="K52" i="19" s="1"/>
  <c r="J51" i="19"/>
  <c r="I51" i="19"/>
  <c r="E51" i="19"/>
  <c r="J50" i="19"/>
  <c r="I50" i="19"/>
  <c r="K50" i="19" s="1"/>
  <c r="J50" i="20" s="1"/>
  <c r="K50" i="20" s="1"/>
  <c r="E50" i="19"/>
  <c r="J49" i="19"/>
  <c r="I49" i="19"/>
  <c r="K49" i="19" s="1"/>
  <c r="E49" i="19"/>
  <c r="J48" i="19"/>
  <c r="I48" i="19"/>
  <c r="K48" i="19" s="1"/>
  <c r="J47" i="19"/>
  <c r="K47" i="19" s="1"/>
  <c r="J47" i="20" s="1"/>
  <c r="K47" i="20" s="1"/>
  <c r="I47" i="19"/>
  <c r="I62" i="19" s="1"/>
  <c r="K62" i="19" s="1"/>
  <c r="J62" i="20" s="1"/>
  <c r="J45" i="19"/>
  <c r="J43" i="19"/>
  <c r="I43" i="19"/>
  <c r="C43" i="19"/>
  <c r="E43" i="19" s="1"/>
  <c r="J42" i="19"/>
  <c r="I42" i="19"/>
  <c r="K42" i="19" s="1"/>
  <c r="E42" i="19"/>
  <c r="J41" i="19"/>
  <c r="I41" i="19"/>
  <c r="K41" i="19" s="1"/>
  <c r="C41" i="19"/>
  <c r="E41" i="19" s="1"/>
  <c r="J40" i="19"/>
  <c r="I40" i="19"/>
  <c r="K40" i="19" s="1"/>
  <c r="J40" i="20" s="1"/>
  <c r="K40" i="20" s="1"/>
  <c r="E40" i="19"/>
  <c r="C40" i="19"/>
  <c r="J39" i="19"/>
  <c r="I39" i="19"/>
  <c r="K39" i="19" s="1"/>
  <c r="J39" i="20" s="1"/>
  <c r="E39" i="19"/>
  <c r="C39" i="19"/>
  <c r="J38" i="19"/>
  <c r="I38" i="19"/>
  <c r="C38" i="19"/>
  <c r="E38" i="19" s="1"/>
  <c r="J37" i="19"/>
  <c r="I37" i="19"/>
  <c r="K37" i="19" s="1"/>
  <c r="J37" i="20" s="1"/>
  <c r="K37" i="20" s="1"/>
  <c r="C37" i="19"/>
  <c r="J36" i="19"/>
  <c r="I36" i="19"/>
  <c r="K36" i="19" s="1"/>
  <c r="J36" i="20" s="1"/>
  <c r="J33" i="19"/>
  <c r="I33" i="19"/>
  <c r="E33" i="19"/>
  <c r="J32" i="19"/>
  <c r="I32" i="19"/>
  <c r="E32" i="19"/>
  <c r="J31" i="19"/>
  <c r="I31" i="19"/>
  <c r="E31" i="19"/>
  <c r="J30" i="19"/>
  <c r="I30" i="19"/>
  <c r="K30" i="19" s="1"/>
  <c r="E30" i="19"/>
  <c r="E29" i="19" s="1"/>
  <c r="J29" i="19"/>
  <c r="I29" i="19"/>
  <c r="C29" i="19"/>
  <c r="E26" i="19"/>
  <c r="D26" i="19"/>
  <c r="C26" i="19"/>
  <c r="J25" i="19"/>
  <c r="K25" i="19" s="1"/>
  <c r="J25" i="20" s="1"/>
  <c r="I25" i="19"/>
  <c r="E25" i="19"/>
  <c r="J24" i="19"/>
  <c r="I24" i="19"/>
  <c r="E24" i="19"/>
  <c r="J23" i="19"/>
  <c r="I23" i="19"/>
  <c r="E23" i="19"/>
  <c r="J22" i="19"/>
  <c r="K22" i="19" s="1"/>
  <c r="J22" i="20" s="1"/>
  <c r="I22" i="19"/>
  <c r="G22" i="19"/>
  <c r="E22" i="19"/>
  <c r="J21" i="19"/>
  <c r="I21" i="19"/>
  <c r="K21" i="19" s="1"/>
  <c r="J21" i="20" s="1"/>
  <c r="E21" i="19"/>
  <c r="E8" i="19" s="1"/>
  <c r="C21" i="19"/>
  <c r="J19" i="19"/>
  <c r="I19" i="19"/>
  <c r="G19" i="19"/>
  <c r="E19" i="19"/>
  <c r="J18" i="19"/>
  <c r="K18" i="19" s="1"/>
  <c r="J18" i="20" s="1"/>
  <c r="I18" i="19"/>
  <c r="E18" i="19"/>
  <c r="J17" i="19"/>
  <c r="K17" i="19" s="1"/>
  <c r="J17" i="20" s="1"/>
  <c r="I17" i="19"/>
  <c r="E17" i="19"/>
  <c r="J16" i="19"/>
  <c r="K16" i="19" s="1"/>
  <c r="I16" i="19"/>
  <c r="E16" i="19"/>
  <c r="J15" i="19"/>
  <c r="K15" i="19" s="1"/>
  <c r="I15" i="19"/>
  <c r="E15" i="19"/>
  <c r="J14" i="19"/>
  <c r="K14" i="19" s="1"/>
  <c r="I14" i="19"/>
  <c r="E14" i="19"/>
  <c r="J13" i="19"/>
  <c r="K13" i="19" s="1"/>
  <c r="I13" i="19"/>
  <c r="E13" i="19"/>
  <c r="J12" i="19"/>
  <c r="K12" i="19" s="1"/>
  <c r="J12" i="20" s="1"/>
  <c r="I12" i="19"/>
  <c r="E12" i="19"/>
  <c r="J11" i="19"/>
  <c r="K11" i="19" s="1"/>
  <c r="J11" i="20" s="1"/>
  <c r="I11" i="19"/>
  <c r="E11" i="19"/>
  <c r="J10" i="19"/>
  <c r="K10" i="19" s="1"/>
  <c r="J10" i="20" s="1"/>
  <c r="I10" i="19"/>
  <c r="E10" i="19"/>
  <c r="J9" i="19"/>
  <c r="K9" i="19" s="1"/>
  <c r="J9" i="20" s="1"/>
  <c r="I9" i="19"/>
  <c r="E9" i="19"/>
  <c r="C9" i="19"/>
  <c r="C8" i="19" s="1"/>
  <c r="J8" i="19"/>
  <c r="I8" i="19"/>
  <c r="J42" i="18"/>
  <c r="H39" i="18"/>
  <c r="J38" i="18"/>
  <c r="H38" i="18"/>
  <c r="H40" i="18" s="1"/>
  <c r="H27" i="18"/>
  <c r="H23" i="18"/>
  <c r="H25" i="18" s="1"/>
  <c r="H18" i="18"/>
  <c r="E117" i="17"/>
  <c r="D117" i="17"/>
  <c r="R109" i="17"/>
  <c r="O109" i="17"/>
  <c r="L109" i="17"/>
  <c r="I109" i="17"/>
  <c r="F109" i="17"/>
  <c r="C109" i="17"/>
  <c r="U107" i="17"/>
  <c r="R107" i="17"/>
  <c r="O107" i="17"/>
  <c r="L107" i="17"/>
  <c r="I107" i="17"/>
  <c r="F107" i="17"/>
  <c r="T105" i="17"/>
  <c r="S105" i="17"/>
  <c r="Q105" i="17"/>
  <c r="P105" i="17"/>
  <c r="N105" i="17"/>
  <c r="K105" i="17"/>
  <c r="J105" i="17"/>
  <c r="H105" i="17"/>
  <c r="G105" i="17"/>
  <c r="E105" i="17"/>
  <c r="D105" i="17"/>
  <c r="C105" i="17"/>
  <c r="R104" i="17"/>
  <c r="O104" i="17"/>
  <c r="L104" i="17"/>
  <c r="I104" i="17"/>
  <c r="F104" i="17"/>
  <c r="R103" i="17"/>
  <c r="O103" i="17"/>
  <c r="L103" i="17"/>
  <c r="I103" i="17"/>
  <c r="F103" i="17"/>
  <c r="U102" i="17"/>
  <c r="U105" i="17" s="1"/>
  <c r="R102" i="17"/>
  <c r="M102" i="17"/>
  <c r="M105" i="17" s="1"/>
  <c r="L102" i="17"/>
  <c r="I102" i="17"/>
  <c r="I105" i="17" s="1"/>
  <c r="F102" i="17"/>
  <c r="N100" i="17"/>
  <c r="K100" i="17"/>
  <c r="C100" i="17"/>
  <c r="U99" i="17"/>
  <c r="P99" i="17"/>
  <c r="R99" i="17" s="1"/>
  <c r="O99" i="17"/>
  <c r="L99" i="17"/>
  <c r="I99" i="17"/>
  <c r="F99" i="17"/>
  <c r="U98" i="17"/>
  <c r="Q98" i="17"/>
  <c r="R98" i="17" s="1"/>
  <c r="O98" i="17"/>
  <c r="L98" i="17"/>
  <c r="I98" i="17"/>
  <c r="AQ98" i="17" s="1"/>
  <c r="D98" i="17"/>
  <c r="F98" i="17" s="1"/>
  <c r="U97" i="17"/>
  <c r="R97" i="17"/>
  <c r="O97" i="17"/>
  <c r="L97" i="17"/>
  <c r="I97" i="17"/>
  <c r="F97" i="17"/>
  <c r="U96" i="17"/>
  <c r="R96" i="17"/>
  <c r="O96" i="17"/>
  <c r="L96" i="17"/>
  <c r="I96" i="17"/>
  <c r="F96" i="17"/>
  <c r="U95" i="17"/>
  <c r="R95" i="17"/>
  <c r="O95" i="17"/>
  <c r="L95" i="17"/>
  <c r="I95" i="17"/>
  <c r="F95" i="17"/>
  <c r="U94" i="17"/>
  <c r="R94" i="17"/>
  <c r="O94" i="17"/>
  <c r="L94" i="17"/>
  <c r="I94" i="17"/>
  <c r="F94" i="17"/>
  <c r="U93" i="17"/>
  <c r="R93" i="17"/>
  <c r="O93" i="17"/>
  <c r="L93" i="17"/>
  <c r="I93" i="17"/>
  <c r="F93" i="17"/>
  <c r="R92" i="17"/>
  <c r="O92" i="17"/>
  <c r="L92" i="17"/>
  <c r="I92" i="17"/>
  <c r="F92" i="17"/>
  <c r="T91" i="17"/>
  <c r="T100" i="17" s="1"/>
  <c r="S91" i="17"/>
  <c r="P91" i="17"/>
  <c r="R91" i="17" s="1"/>
  <c r="O91" i="17"/>
  <c r="M91" i="17"/>
  <c r="M100" i="17" s="1"/>
  <c r="J91" i="17"/>
  <c r="L91" i="17" s="1"/>
  <c r="H91" i="17"/>
  <c r="G91" i="17"/>
  <c r="E91" i="17"/>
  <c r="E100" i="17" s="1"/>
  <c r="S90" i="17"/>
  <c r="S100" i="17" s="1"/>
  <c r="Q90" i="17"/>
  <c r="O90" i="17"/>
  <c r="L90" i="17"/>
  <c r="G90" i="17"/>
  <c r="I90" i="17" s="1"/>
  <c r="F90" i="17"/>
  <c r="U89" i="17"/>
  <c r="R89" i="17"/>
  <c r="O89" i="17"/>
  <c r="L89" i="17"/>
  <c r="I89" i="17"/>
  <c r="F89" i="17"/>
  <c r="U88" i="17"/>
  <c r="R88" i="17"/>
  <c r="O88" i="17"/>
  <c r="L88" i="17"/>
  <c r="I88" i="17"/>
  <c r="F88" i="17"/>
  <c r="U87" i="17"/>
  <c r="R87" i="17"/>
  <c r="O87" i="17"/>
  <c r="L87" i="17"/>
  <c r="I87" i="17"/>
  <c r="F87" i="17"/>
  <c r="U86" i="17"/>
  <c r="R86" i="17"/>
  <c r="O86" i="17"/>
  <c r="L86" i="17"/>
  <c r="I86" i="17"/>
  <c r="F86" i="17"/>
  <c r="P83" i="17"/>
  <c r="D83" i="17"/>
  <c r="U82" i="17"/>
  <c r="R82" i="17"/>
  <c r="M82" i="17"/>
  <c r="O82" i="17" s="1"/>
  <c r="F82" i="17"/>
  <c r="U81" i="17"/>
  <c r="R81" i="17"/>
  <c r="M81" i="17"/>
  <c r="O81" i="17" s="1"/>
  <c r="L81" i="17"/>
  <c r="F81" i="17"/>
  <c r="AQ81" i="17" s="1"/>
  <c r="U80" i="17"/>
  <c r="R80" i="17"/>
  <c r="O80" i="17"/>
  <c r="L80" i="17"/>
  <c r="I80" i="17"/>
  <c r="F80" i="17"/>
  <c r="U79" i="17"/>
  <c r="R79" i="17"/>
  <c r="O79" i="17"/>
  <c r="O77" i="17" s="1"/>
  <c r="J79" i="17"/>
  <c r="L79" i="17" s="1"/>
  <c r="I79" i="17"/>
  <c r="F79" i="17"/>
  <c r="U78" i="17"/>
  <c r="U77" i="17" s="1"/>
  <c r="U83" i="17" s="1"/>
  <c r="R78" i="17"/>
  <c r="R77" i="17" s="1"/>
  <c r="O78" i="17"/>
  <c r="L78" i="17"/>
  <c r="I78" i="17"/>
  <c r="F78" i="17"/>
  <c r="T77" i="17"/>
  <c r="T83" i="17" s="1"/>
  <c r="S77" i="17"/>
  <c r="S83" i="17" s="1"/>
  <c r="Q77" i="17"/>
  <c r="Q83" i="17" s="1"/>
  <c r="P77" i="17"/>
  <c r="N77" i="17"/>
  <c r="N83" i="17" s="1"/>
  <c r="M77" i="17"/>
  <c r="K77" i="17"/>
  <c r="K83" i="17" s="1"/>
  <c r="H77" i="17"/>
  <c r="H83" i="17" s="1"/>
  <c r="G77" i="17"/>
  <c r="G83" i="17" s="1"/>
  <c r="F77" i="17"/>
  <c r="E77" i="17"/>
  <c r="E83" i="17" s="1"/>
  <c r="D77" i="17"/>
  <c r="C77" i="17"/>
  <c r="H75" i="17"/>
  <c r="R74" i="17"/>
  <c r="O74" i="17"/>
  <c r="L74" i="17"/>
  <c r="I74" i="17"/>
  <c r="F74" i="17"/>
  <c r="R73" i="17"/>
  <c r="O73" i="17"/>
  <c r="L73" i="17"/>
  <c r="I73" i="17"/>
  <c r="AQ73" i="17" s="1"/>
  <c r="F73" i="17"/>
  <c r="R72" i="17"/>
  <c r="O72" i="17"/>
  <c r="L72" i="17"/>
  <c r="I72" i="17"/>
  <c r="F72" i="17"/>
  <c r="R71" i="17"/>
  <c r="O71" i="17"/>
  <c r="L71" i="17"/>
  <c r="I71" i="17"/>
  <c r="F71" i="17"/>
  <c r="R70" i="17"/>
  <c r="O70" i="17"/>
  <c r="L70" i="17"/>
  <c r="I70" i="17"/>
  <c r="F70" i="17"/>
  <c r="U69" i="17"/>
  <c r="R69" i="17"/>
  <c r="O69" i="17"/>
  <c r="L69" i="17"/>
  <c r="I69" i="17"/>
  <c r="F69" i="17"/>
  <c r="U68" i="17"/>
  <c r="R68" i="17"/>
  <c r="O68" i="17"/>
  <c r="L68" i="17"/>
  <c r="I68" i="17"/>
  <c r="F68" i="17"/>
  <c r="U67" i="17"/>
  <c r="R67" i="17"/>
  <c r="M67" i="17"/>
  <c r="O67" i="17" s="1"/>
  <c r="O65" i="17" s="1"/>
  <c r="L67" i="17"/>
  <c r="I67" i="17"/>
  <c r="F67" i="17"/>
  <c r="U66" i="17"/>
  <c r="R66" i="17"/>
  <c r="O66" i="17"/>
  <c r="L66" i="17"/>
  <c r="I66" i="17"/>
  <c r="F66" i="17"/>
  <c r="T65" i="17"/>
  <c r="T75" i="17" s="1"/>
  <c r="S65" i="17"/>
  <c r="S75" i="17" s="1"/>
  <c r="Q65" i="17"/>
  <c r="Q75" i="17" s="1"/>
  <c r="P65" i="17"/>
  <c r="P75" i="17" s="1"/>
  <c r="N65" i="17"/>
  <c r="N75" i="17" s="1"/>
  <c r="M65" i="17"/>
  <c r="M75" i="17" s="1"/>
  <c r="K65" i="17"/>
  <c r="K75" i="17" s="1"/>
  <c r="J65" i="17"/>
  <c r="J75" i="17" s="1"/>
  <c r="H65" i="17"/>
  <c r="G65" i="17"/>
  <c r="G75" i="17" s="1"/>
  <c r="E65" i="17"/>
  <c r="E75" i="17" s="1"/>
  <c r="D65" i="17"/>
  <c r="C65" i="17"/>
  <c r="C75" i="17" s="1"/>
  <c r="U64" i="17"/>
  <c r="R64" i="17"/>
  <c r="O64" i="17"/>
  <c r="L64" i="17"/>
  <c r="I64" i="17"/>
  <c r="D64" i="17"/>
  <c r="F64" i="17" s="1"/>
  <c r="AQ60" i="17"/>
  <c r="U59" i="17"/>
  <c r="P59" i="17"/>
  <c r="R59" i="17" s="1"/>
  <c r="O59" i="17"/>
  <c r="L59" i="17"/>
  <c r="I59" i="17"/>
  <c r="D59" i="17"/>
  <c r="F59" i="17" s="1"/>
  <c r="AQ59" i="17" s="1"/>
  <c r="U58" i="17"/>
  <c r="R58" i="17"/>
  <c r="O58" i="17"/>
  <c r="L58" i="17"/>
  <c r="I58" i="17"/>
  <c r="F58" i="17"/>
  <c r="U57" i="17"/>
  <c r="R57" i="17"/>
  <c r="O57" i="17"/>
  <c r="L57" i="17"/>
  <c r="I57" i="17"/>
  <c r="F57" i="17"/>
  <c r="AQ57" i="17" s="1"/>
  <c r="U56" i="17"/>
  <c r="R56" i="17"/>
  <c r="O56" i="17"/>
  <c r="L56" i="17"/>
  <c r="AQ56" i="17" s="1"/>
  <c r="I56" i="17"/>
  <c r="F56" i="17"/>
  <c r="U55" i="17"/>
  <c r="R55" i="17"/>
  <c r="O55" i="17"/>
  <c r="L55" i="17"/>
  <c r="I55" i="17"/>
  <c r="F55" i="17"/>
  <c r="U54" i="17"/>
  <c r="R54" i="17"/>
  <c r="O54" i="17"/>
  <c r="L54" i="17"/>
  <c r="I54" i="17"/>
  <c r="F54" i="17"/>
  <c r="U53" i="17"/>
  <c r="R53" i="17"/>
  <c r="O53" i="17"/>
  <c r="L53" i="17"/>
  <c r="I53" i="17"/>
  <c r="F53" i="17"/>
  <c r="U52" i="17"/>
  <c r="AQ52" i="17" s="1"/>
  <c r="U51" i="17"/>
  <c r="R51" i="17"/>
  <c r="M51" i="17"/>
  <c r="L51" i="17"/>
  <c r="J51" i="17"/>
  <c r="I51" i="17"/>
  <c r="F51" i="17"/>
  <c r="U50" i="17"/>
  <c r="R50" i="17"/>
  <c r="O50" i="17"/>
  <c r="L50" i="17"/>
  <c r="I50" i="17"/>
  <c r="F50" i="17"/>
  <c r="U49" i="17"/>
  <c r="R49" i="17"/>
  <c r="O49" i="17"/>
  <c r="L49" i="17"/>
  <c r="I49" i="17"/>
  <c r="F49" i="17"/>
  <c r="U48" i="17"/>
  <c r="R48" i="17"/>
  <c r="O48" i="17"/>
  <c r="L48" i="17"/>
  <c r="L47" i="17" s="1"/>
  <c r="L62" i="17" s="1"/>
  <c r="I48" i="17"/>
  <c r="F48" i="17"/>
  <c r="T47" i="17"/>
  <c r="T62" i="17" s="1"/>
  <c r="S47" i="17"/>
  <c r="S62" i="17" s="1"/>
  <c r="Q47" i="17"/>
  <c r="Q62" i="17" s="1"/>
  <c r="N47" i="17"/>
  <c r="N62" i="17" s="1"/>
  <c r="K47" i="17"/>
  <c r="K62" i="17" s="1"/>
  <c r="J47" i="17"/>
  <c r="J62" i="17" s="1"/>
  <c r="H47" i="17"/>
  <c r="H62" i="17" s="1"/>
  <c r="G47" i="17"/>
  <c r="G62" i="17" s="1"/>
  <c r="E47" i="17"/>
  <c r="E62" i="17" s="1"/>
  <c r="C47" i="17"/>
  <c r="C62" i="17" s="1"/>
  <c r="AS44" i="17"/>
  <c r="AR44" i="17"/>
  <c r="AQ44" i="17"/>
  <c r="T43" i="17"/>
  <c r="U43" i="17" s="1"/>
  <c r="R43" i="17"/>
  <c r="Q43" i="17"/>
  <c r="Q36" i="17" s="1"/>
  <c r="N43" i="17"/>
  <c r="O43" i="17" s="1"/>
  <c r="L43" i="17"/>
  <c r="I43" i="17"/>
  <c r="H43" i="17"/>
  <c r="E43" i="17"/>
  <c r="U42" i="17"/>
  <c r="R42" i="17"/>
  <c r="O42" i="17"/>
  <c r="L42" i="17"/>
  <c r="I42" i="17"/>
  <c r="F42" i="17"/>
  <c r="U41" i="17"/>
  <c r="R41" i="17"/>
  <c r="O41" i="17"/>
  <c r="L41" i="17"/>
  <c r="I41" i="17"/>
  <c r="F41" i="17"/>
  <c r="U40" i="17"/>
  <c r="R40" i="17"/>
  <c r="O40" i="17"/>
  <c r="L40" i="17"/>
  <c r="I40" i="17"/>
  <c r="F40" i="17"/>
  <c r="U39" i="17"/>
  <c r="R39" i="17"/>
  <c r="O39" i="17"/>
  <c r="L39" i="17"/>
  <c r="I39" i="17"/>
  <c r="F39" i="17"/>
  <c r="U38" i="17"/>
  <c r="R38" i="17"/>
  <c r="O38" i="17"/>
  <c r="L38" i="17"/>
  <c r="I38" i="17"/>
  <c r="F38" i="17"/>
  <c r="U37" i="17"/>
  <c r="R37" i="17"/>
  <c r="O37" i="17"/>
  <c r="L37" i="17"/>
  <c r="I37" i="17"/>
  <c r="F37" i="17"/>
  <c r="T36" i="17"/>
  <c r="S36" i="17"/>
  <c r="P36" i="17"/>
  <c r="O36" i="17"/>
  <c r="N36" i="17"/>
  <c r="M36" i="17"/>
  <c r="K36" i="17"/>
  <c r="J36" i="17"/>
  <c r="H36" i="17"/>
  <c r="G36" i="17"/>
  <c r="D36" i="17"/>
  <c r="C36" i="17"/>
  <c r="AS35" i="17"/>
  <c r="AQ35" i="17"/>
  <c r="AR35" i="17" s="1"/>
  <c r="AS34" i="17"/>
  <c r="AR34" i="17"/>
  <c r="AQ34" i="17"/>
  <c r="U33" i="17"/>
  <c r="P33" i="17"/>
  <c r="O33" i="17"/>
  <c r="K33" i="17"/>
  <c r="J33" i="17"/>
  <c r="L33" i="17" s="1"/>
  <c r="H33" i="17"/>
  <c r="H29" i="17" s="1"/>
  <c r="D33" i="17"/>
  <c r="U32" i="17"/>
  <c r="R32" i="17"/>
  <c r="O32" i="17"/>
  <c r="L32" i="17"/>
  <c r="I32" i="17"/>
  <c r="F32" i="17"/>
  <c r="AQ32" i="17" s="1"/>
  <c r="AR32" i="17" s="1"/>
  <c r="U31" i="17"/>
  <c r="R31" i="17"/>
  <c r="O31" i="17"/>
  <c r="L31" i="17"/>
  <c r="I31" i="17"/>
  <c r="F31" i="17"/>
  <c r="U30" i="17"/>
  <c r="U29" i="17" s="1"/>
  <c r="R30" i="17"/>
  <c r="O30" i="17"/>
  <c r="L30" i="17"/>
  <c r="I30" i="17"/>
  <c r="F30" i="17"/>
  <c r="T29" i="17"/>
  <c r="S29" i="17"/>
  <c r="Q29" i="17"/>
  <c r="N29" i="17"/>
  <c r="M29" i="17"/>
  <c r="K29" i="17"/>
  <c r="J29" i="17"/>
  <c r="G29" i="17"/>
  <c r="E29" i="17"/>
  <c r="C29" i="17"/>
  <c r="U27" i="17"/>
  <c r="AQ27" i="17" s="1"/>
  <c r="AQ26" i="17"/>
  <c r="U26" i="17"/>
  <c r="U25" i="17"/>
  <c r="R25" i="17"/>
  <c r="O25" i="17"/>
  <c r="L25" i="17"/>
  <c r="I25" i="17"/>
  <c r="F25" i="17"/>
  <c r="S24" i="17"/>
  <c r="U24" i="17" s="1"/>
  <c r="P24" i="17"/>
  <c r="R24" i="17" s="1"/>
  <c r="M24" i="17"/>
  <c r="O24" i="17" s="1"/>
  <c r="L24" i="17"/>
  <c r="G24" i="17"/>
  <c r="I24" i="17" s="1"/>
  <c r="D24" i="17"/>
  <c r="F24" i="17" s="1"/>
  <c r="AQ24" i="17" s="1"/>
  <c r="S23" i="17"/>
  <c r="U23" i="17" s="1"/>
  <c r="R23" i="17"/>
  <c r="O23" i="17"/>
  <c r="L23" i="17"/>
  <c r="G23" i="17"/>
  <c r="E23" i="17"/>
  <c r="F23" i="17" s="1"/>
  <c r="D23" i="17"/>
  <c r="S22" i="17"/>
  <c r="P22" i="17"/>
  <c r="R22" i="17" s="1"/>
  <c r="R21" i="17" s="1"/>
  <c r="M22" i="17"/>
  <c r="O22" i="17" s="1"/>
  <c r="L22" i="17"/>
  <c r="L21" i="17" s="1"/>
  <c r="G22" i="17"/>
  <c r="I22" i="17" s="1"/>
  <c r="T21" i="17"/>
  <c r="Q21" i="17"/>
  <c r="P21" i="17"/>
  <c r="N21" i="17"/>
  <c r="M21" i="17"/>
  <c r="K21" i="17"/>
  <c r="J21" i="17"/>
  <c r="H21" i="17"/>
  <c r="E21" i="17"/>
  <c r="C21" i="17"/>
  <c r="U20" i="17"/>
  <c r="AQ20" i="17" s="1"/>
  <c r="S19" i="17"/>
  <c r="U19" i="17" s="1"/>
  <c r="R19" i="17"/>
  <c r="P19" i="17"/>
  <c r="M19" i="17"/>
  <c r="O19" i="17" s="1"/>
  <c r="L19" i="17"/>
  <c r="J19" i="17"/>
  <c r="F19" i="17"/>
  <c r="U18" i="17"/>
  <c r="R18" i="17"/>
  <c r="O18" i="17"/>
  <c r="L18" i="17"/>
  <c r="AQ18" i="17" s="1"/>
  <c r="I18" i="17"/>
  <c r="F18" i="17"/>
  <c r="U17" i="17"/>
  <c r="R17" i="17"/>
  <c r="O17" i="17"/>
  <c r="L17" i="17"/>
  <c r="I17" i="17"/>
  <c r="F17" i="17"/>
  <c r="U16" i="17"/>
  <c r="R16" i="17"/>
  <c r="O16" i="17"/>
  <c r="L16" i="17"/>
  <c r="I16" i="17"/>
  <c r="F16" i="17"/>
  <c r="U15" i="17"/>
  <c r="R15" i="17"/>
  <c r="O15" i="17"/>
  <c r="L15" i="17"/>
  <c r="I15" i="17"/>
  <c r="F15" i="17"/>
  <c r="U14" i="17"/>
  <c r="R14" i="17"/>
  <c r="O14" i="17"/>
  <c r="L14" i="17"/>
  <c r="I14" i="17"/>
  <c r="F14" i="17"/>
  <c r="U13" i="17"/>
  <c r="R13" i="17"/>
  <c r="O13" i="17"/>
  <c r="L13" i="17"/>
  <c r="I13" i="17"/>
  <c r="F13" i="17"/>
  <c r="S12" i="17"/>
  <c r="U12" i="17" s="1"/>
  <c r="P12" i="17"/>
  <c r="R12" i="17" s="1"/>
  <c r="M12" i="17"/>
  <c r="O12" i="17" s="1"/>
  <c r="L12" i="17"/>
  <c r="J12" i="17"/>
  <c r="F12" i="17"/>
  <c r="U11" i="17"/>
  <c r="S11" i="17"/>
  <c r="P11" i="17"/>
  <c r="R11" i="17" s="1"/>
  <c r="M11" i="17"/>
  <c r="O11" i="17" s="1"/>
  <c r="J11" i="17"/>
  <c r="L11" i="17" s="1"/>
  <c r="F11" i="17"/>
  <c r="S10" i="17"/>
  <c r="U10" i="17" s="1"/>
  <c r="U9" i="17" s="1"/>
  <c r="P10" i="17"/>
  <c r="M10" i="17"/>
  <c r="O10" i="17" s="1"/>
  <c r="L10" i="17"/>
  <c r="I10" i="17"/>
  <c r="G10" i="17"/>
  <c r="E10" i="17"/>
  <c r="T9" i="17"/>
  <c r="T8" i="17" s="1"/>
  <c r="S9" i="17"/>
  <c r="Q9" i="17"/>
  <c r="N9" i="17"/>
  <c r="N8" i="17" s="1"/>
  <c r="M9" i="17"/>
  <c r="K9" i="17"/>
  <c r="K8" i="17" s="1"/>
  <c r="H9" i="17"/>
  <c r="H8" i="17" s="1"/>
  <c r="E9" i="17"/>
  <c r="E8" i="17" s="1"/>
  <c r="C9" i="17"/>
  <c r="C8" i="17"/>
  <c r="G26" i="16"/>
  <c r="F26" i="16"/>
  <c r="H16" i="16"/>
  <c r="H17" i="16" s="1"/>
  <c r="H18" i="16" s="1"/>
  <c r="H19" i="16" s="1"/>
  <c r="H20" i="16" s="1"/>
  <c r="H21" i="16" s="1"/>
  <c r="H22" i="16" s="1"/>
  <c r="H23" i="16" s="1"/>
  <c r="H24" i="16" s="1"/>
  <c r="H25" i="16" s="1"/>
  <c r="H26" i="16" s="1"/>
  <c r="H15" i="16"/>
  <c r="F22" i="15"/>
  <c r="E21" i="15"/>
  <c r="E22" i="15" s="1"/>
  <c r="E45" i="14"/>
  <c r="E44" i="14"/>
  <c r="F43" i="14"/>
  <c r="D10" i="17" s="1"/>
  <c r="F10" i="17" s="1"/>
  <c r="F42" i="14"/>
  <c r="G30" i="14"/>
  <c r="F30" i="14"/>
  <c r="H17" i="14"/>
  <c r="H18" i="14" s="1"/>
  <c r="H19" i="14" s="1"/>
  <c r="H20" i="14" s="1"/>
  <c r="H21" i="14" s="1"/>
  <c r="H22" i="14" s="1"/>
  <c r="H23" i="14" s="1"/>
  <c r="H24" i="14" s="1"/>
  <c r="H25" i="14" s="1"/>
  <c r="H26" i="14" s="1"/>
  <c r="H27" i="14" s="1"/>
  <c r="H28" i="14" s="1"/>
  <c r="H29" i="14" s="1"/>
  <c r="H30" i="14" s="1"/>
  <c r="C14" i="15" s="1"/>
  <c r="H15" i="14"/>
  <c r="H16" i="14" s="1"/>
  <c r="E25" i="13"/>
  <c r="E48" i="12"/>
  <c r="E47" i="12"/>
  <c r="E46" i="12"/>
  <c r="E45" i="12"/>
  <c r="I132" i="10"/>
  <c r="J128" i="10"/>
  <c r="D124" i="10"/>
  <c r="H124" i="10" s="1"/>
  <c r="C124" i="10"/>
  <c r="G124" i="10" s="1"/>
  <c r="I124" i="10" s="1"/>
  <c r="I126" i="10" s="1"/>
  <c r="I120" i="10"/>
  <c r="E120" i="10"/>
  <c r="I119" i="10"/>
  <c r="I118" i="10" s="1"/>
  <c r="E119" i="10"/>
  <c r="D116" i="10"/>
  <c r="H116" i="10" s="1"/>
  <c r="C116" i="10"/>
  <c r="H114" i="10"/>
  <c r="I114" i="10" s="1"/>
  <c r="D114" i="10"/>
  <c r="E114" i="10" s="1"/>
  <c r="H111" i="10"/>
  <c r="C111" i="10"/>
  <c r="D110" i="10"/>
  <c r="C110" i="10"/>
  <c r="G110" i="10" s="1"/>
  <c r="I107" i="10"/>
  <c r="I106" i="10" s="1"/>
  <c r="E107" i="10"/>
  <c r="E106" i="10" s="1"/>
  <c r="C105" i="10"/>
  <c r="D104" i="10"/>
  <c r="H104" i="10" s="1"/>
  <c r="C104" i="10"/>
  <c r="G104" i="10" s="1"/>
  <c r="H103" i="10"/>
  <c r="I103" i="10" s="1"/>
  <c r="D103" i="10"/>
  <c r="C103" i="10"/>
  <c r="G103" i="10" s="1"/>
  <c r="G102" i="10"/>
  <c r="E102" i="10"/>
  <c r="D102" i="10"/>
  <c r="H102" i="10" s="1"/>
  <c r="C102" i="10"/>
  <c r="H101" i="10"/>
  <c r="I101" i="10" s="1"/>
  <c r="D101" i="10"/>
  <c r="C101" i="10"/>
  <c r="G101" i="10" s="1"/>
  <c r="H95" i="10"/>
  <c r="I95" i="10" s="1"/>
  <c r="E95" i="10"/>
  <c r="H94" i="10"/>
  <c r="I94" i="10" s="1"/>
  <c r="D94" i="10"/>
  <c r="E94" i="10" s="1"/>
  <c r="I93" i="10"/>
  <c r="E93" i="10"/>
  <c r="I91" i="10"/>
  <c r="E91" i="10"/>
  <c r="H90" i="10"/>
  <c r="I90" i="10" s="1"/>
  <c r="D90" i="10"/>
  <c r="E90" i="10" s="1"/>
  <c r="E97" i="10" s="1"/>
  <c r="B161" i="10" s="1"/>
  <c r="E89" i="10"/>
  <c r="H89" i="10" s="1"/>
  <c r="I89" i="10" s="1"/>
  <c r="I85" i="10"/>
  <c r="E85" i="10"/>
  <c r="E84" i="10"/>
  <c r="I84" i="10" s="1"/>
  <c r="D83" i="10"/>
  <c r="H83" i="10" s="1"/>
  <c r="I83" i="10" s="1"/>
  <c r="E82" i="10"/>
  <c r="I82" i="10" s="1"/>
  <c r="E81" i="10"/>
  <c r="H81" i="10" s="1"/>
  <c r="I81" i="10" s="1"/>
  <c r="H80" i="10"/>
  <c r="G80" i="10"/>
  <c r="I80" i="10" s="1"/>
  <c r="D79" i="10"/>
  <c r="C79" i="10" s="1"/>
  <c r="G79" i="10" s="1"/>
  <c r="I78" i="10"/>
  <c r="G78" i="10"/>
  <c r="D77" i="10"/>
  <c r="H77" i="10" s="1"/>
  <c r="I77" i="10" s="1"/>
  <c r="G76" i="10"/>
  <c r="I76" i="10" s="1"/>
  <c r="E76" i="10"/>
  <c r="C76" i="10"/>
  <c r="I75" i="10"/>
  <c r="E74" i="10"/>
  <c r="I74" i="10" s="1"/>
  <c r="G72" i="10"/>
  <c r="D72" i="10"/>
  <c r="H72" i="10" s="1"/>
  <c r="G68" i="10"/>
  <c r="D68" i="10"/>
  <c r="H65" i="10"/>
  <c r="D65" i="10"/>
  <c r="G62" i="10"/>
  <c r="C62" i="10"/>
  <c r="G61" i="10"/>
  <c r="C61" i="10"/>
  <c r="G60" i="10"/>
  <c r="C60" i="10"/>
  <c r="D55" i="10"/>
  <c r="C55" i="10"/>
  <c r="G55" i="10" s="1"/>
  <c r="H54" i="10"/>
  <c r="D54" i="10"/>
  <c r="C54" i="10"/>
  <c r="G53" i="10"/>
  <c r="C53" i="10"/>
  <c r="C52" i="10"/>
  <c r="C51" i="10"/>
  <c r="G51" i="10" s="1"/>
  <c r="C50" i="10"/>
  <c r="C49" i="10"/>
  <c r="G49" i="10" s="1"/>
  <c r="C48" i="10"/>
  <c r="D46" i="10"/>
  <c r="D47" i="10" s="1"/>
  <c r="D48" i="10" s="1"/>
  <c r="C46" i="10"/>
  <c r="G46" i="10" s="1"/>
  <c r="G41" i="10"/>
  <c r="C41" i="10"/>
  <c r="G40" i="10"/>
  <c r="C40" i="10"/>
  <c r="D39" i="10"/>
  <c r="C39" i="10"/>
  <c r="G39" i="10" s="1"/>
  <c r="G35" i="10"/>
  <c r="C35" i="10"/>
  <c r="C34" i="10"/>
  <c r="C32" i="10"/>
  <c r="G31" i="10"/>
  <c r="C31" i="10"/>
  <c r="C30" i="10"/>
  <c r="D29" i="10"/>
  <c r="D30" i="10" s="1"/>
  <c r="H30" i="10" s="1"/>
  <c r="L28" i="10"/>
  <c r="K28" i="10"/>
  <c r="H28" i="10"/>
  <c r="H29" i="10" s="1"/>
  <c r="E28" i="10"/>
  <c r="C28" i="10"/>
  <c r="K24" i="10"/>
  <c r="H24" i="10"/>
  <c r="D24" i="10" s="1"/>
  <c r="G24" i="10"/>
  <c r="I24" i="10" s="1"/>
  <c r="C24" i="10"/>
  <c r="G23" i="10"/>
  <c r="D23" i="10"/>
  <c r="H23" i="10" s="1"/>
  <c r="I23" i="10" s="1"/>
  <c r="C23" i="10"/>
  <c r="C22" i="10"/>
  <c r="K21" i="10"/>
  <c r="K22" i="10" s="1"/>
  <c r="K23" i="10" s="1"/>
  <c r="C21" i="10"/>
  <c r="H20" i="10"/>
  <c r="G20" i="10"/>
  <c r="D20" i="10"/>
  <c r="D21" i="10" s="1"/>
  <c r="E21" i="10" s="1"/>
  <c r="C20" i="10"/>
  <c r="M19" i="10"/>
  <c r="K13" i="10" s="1"/>
  <c r="H19" i="10"/>
  <c r="I19" i="10" s="1"/>
  <c r="D19" i="10"/>
  <c r="E19" i="10" s="1"/>
  <c r="C19" i="10"/>
  <c r="D18" i="10"/>
  <c r="H18" i="10" s="1"/>
  <c r="I18" i="10" s="1"/>
  <c r="C18" i="10"/>
  <c r="G17" i="10"/>
  <c r="D17" i="10"/>
  <c r="E17" i="10" s="1"/>
  <c r="D16" i="10"/>
  <c r="H16" i="10" s="1"/>
  <c r="I16" i="10" s="1"/>
  <c r="C16" i="10"/>
  <c r="H15" i="10"/>
  <c r="G15" i="10"/>
  <c r="D15" i="10"/>
  <c r="C15" i="10"/>
  <c r="E15" i="10" s="1"/>
  <c r="L13" i="10"/>
  <c r="L12" i="10"/>
  <c r="G12" i="10"/>
  <c r="E12" i="10"/>
  <c r="D12" i="10"/>
  <c r="H12" i="10" s="1"/>
  <c r="C12" i="10"/>
  <c r="H11" i="10"/>
  <c r="I11" i="10" s="1"/>
  <c r="G11" i="10"/>
  <c r="D11" i="10"/>
  <c r="C11" i="10"/>
  <c r="H10" i="10"/>
  <c r="I10" i="10" s="1"/>
  <c r="G10" i="10"/>
  <c r="D10" i="10"/>
  <c r="E10" i="10" s="1"/>
  <c r="C10" i="10"/>
  <c r="G9" i="10"/>
  <c r="D9" i="10"/>
  <c r="C9" i="10"/>
  <c r="D8" i="10"/>
  <c r="C8" i="10"/>
  <c r="D7" i="10"/>
  <c r="H7" i="10" s="1"/>
  <c r="C7" i="10"/>
  <c r="N6" i="10"/>
  <c r="G6" i="10"/>
  <c r="E6" i="10"/>
  <c r="D6" i="10"/>
  <c r="H6" i="10" s="1"/>
  <c r="C6" i="10"/>
  <c r="E5" i="10"/>
  <c r="A116" i="8"/>
  <c r="B115" i="8"/>
  <c r="B114" i="8"/>
  <c r="B113" i="8"/>
  <c r="B111" i="8"/>
  <c r="B110" i="8"/>
  <c r="B109" i="8"/>
  <c r="B108" i="8"/>
  <c r="B107" i="8"/>
  <c r="B106" i="8"/>
  <c r="B105" i="8"/>
  <c r="B104" i="8"/>
  <c r="AB102" i="8"/>
  <c r="Y102" i="8"/>
  <c r="B102" i="8"/>
  <c r="B101" i="8"/>
  <c r="B100" i="8"/>
  <c r="B99" i="8"/>
  <c r="B98" i="8"/>
  <c r="B96" i="8"/>
  <c r="B95" i="8"/>
  <c r="B94" i="8"/>
  <c r="B93" i="8"/>
  <c r="B92" i="8"/>
  <c r="B91" i="8"/>
  <c r="B90" i="8"/>
  <c r="AB88" i="8"/>
  <c r="Y88" i="8"/>
  <c r="B88" i="8"/>
  <c r="B87" i="8"/>
  <c r="B86" i="8"/>
  <c r="B85" i="8"/>
  <c r="B83" i="8"/>
  <c r="B82" i="8"/>
  <c r="B81" i="8"/>
  <c r="B80" i="8"/>
  <c r="B77" i="8"/>
  <c r="B76" i="8"/>
  <c r="B75" i="8"/>
  <c r="B73" i="8"/>
  <c r="B72" i="8"/>
  <c r="B71" i="8"/>
  <c r="B70" i="8"/>
  <c r="B66" i="8"/>
  <c r="AB64" i="8"/>
  <c r="Y64" i="8"/>
  <c r="B63" i="8"/>
  <c r="B62" i="8"/>
  <c r="B61" i="8"/>
  <c r="B60" i="8"/>
  <c r="B59" i="8"/>
  <c r="B58" i="8"/>
  <c r="B56" i="8"/>
  <c r="B55" i="8"/>
  <c r="B54" i="8"/>
  <c r="B53" i="8"/>
  <c r="B52" i="8"/>
  <c r="B51" i="8"/>
  <c r="B50" i="8"/>
  <c r="B49" i="8"/>
  <c r="B48" i="8"/>
  <c r="B47" i="8"/>
  <c r="B46" i="8"/>
  <c r="B45" i="8"/>
  <c r="B44" i="8"/>
  <c r="B43" i="8"/>
  <c r="B42" i="8"/>
  <c r="B41" i="8"/>
  <c r="B40" i="8"/>
  <c r="B39" i="8"/>
  <c r="B38" i="8"/>
  <c r="B37" i="8"/>
  <c r="B36" i="8"/>
  <c r="B35" i="8"/>
  <c r="B34" i="8"/>
  <c r="B33" i="8"/>
  <c r="AB32" i="8"/>
  <c r="Y32" i="8"/>
  <c r="B32" i="8"/>
  <c r="B31" i="8"/>
  <c r="B30" i="8"/>
  <c r="B29" i="8"/>
  <c r="B28" i="8"/>
  <c r="B26" i="8"/>
  <c r="B25" i="8"/>
  <c r="B24" i="8"/>
  <c r="B22" i="8"/>
  <c r="B21" i="8"/>
  <c r="B20" i="8"/>
  <c r="B18" i="8"/>
  <c r="B17" i="8"/>
  <c r="B16" i="8"/>
  <c r="AB15" i="8"/>
  <c r="Y15" i="8"/>
  <c r="B12" i="8"/>
  <c r="B9" i="8"/>
  <c r="B8" i="8"/>
  <c r="A6" i="8"/>
  <c r="X4" i="8"/>
  <c r="W4" i="8"/>
  <c r="C3" i="8"/>
  <c r="Y2" i="8"/>
  <c r="C2" i="8"/>
  <c r="AB102" i="6"/>
  <c r="Y102" i="6"/>
  <c r="AB88" i="6"/>
  <c r="Y88" i="6"/>
  <c r="AB64" i="6"/>
  <c r="Y64" i="6"/>
  <c r="AB32" i="6"/>
  <c r="Y32" i="6"/>
  <c r="AB15" i="6"/>
  <c r="Y15" i="6"/>
  <c r="B81" i="5"/>
  <c r="B80" i="5"/>
  <c r="C80" i="5" s="1"/>
  <c r="B79" i="5"/>
  <c r="C79" i="5" s="1"/>
  <c r="H74" i="5"/>
  <c r="H75" i="5" s="1"/>
  <c r="H73" i="5"/>
  <c r="H72" i="5"/>
  <c r="B72" i="5"/>
  <c r="C72" i="5" s="1"/>
  <c r="H71" i="5"/>
  <c r="C71" i="5"/>
  <c r="B71" i="5"/>
  <c r="C63" i="5"/>
  <c r="B63" i="5"/>
  <c r="B62" i="5"/>
  <c r="C62" i="5" s="1"/>
  <c r="B61" i="5"/>
  <c r="C61" i="5" s="1"/>
  <c r="B60" i="5"/>
  <c r="C60" i="5" s="1"/>
  <c r="C59" i="5"/>
  <c r="B59" i="5"/>
  <c r="B58" i="5"/>
  <c r="C58" i="5" s="1"/>
  <c r="C57" i="5"/>
  <c r="B57" i="5"/>
  <c r="C50" i="5"/>
  <c r="B50" i="5"/>
  <c r="B49" i="5"/>
  <c r="C49" i="5" s="1"/>
  <c r="B41" i="5"/>
  <c r="C41" i="5" s="1"/>
  <c r="C40" i="5"/>
  <c r="B40" i="5"/>
  <c r="B39" i="5"/>
  <c r="C39" i="5" s="1"/>
  <c r="B38" i="5"/>
  <c r="C38" i="5" s="1"/>
  <c r="B37" i="5"/>
  <c r="B30" i="5"/>
  <c r="C30" i="5" s="1"/>
  <c r="B29" i="5"/>
  <c r="C29" i="5" s="1"/>
  <c r="B28" i="5"/>
  <c r="C28" i="5" s="1"/>
  <c r="C27" i="5"/>
  <c r="B27" i="5"/>
  <c r="B26" i="5"/>
  <c r="C26" i="5" s="1"/>
  <c r="C25" i="5"/>
  <c r="B25" i="5"/>
  <c r="B18" i="5"/>
  <c r="C18" i="5" s="1"/>
  <c r="B17" i="5"/>
  <c r="C17" i="5" s="1"/>
  <c r="B16" i="5"/>
  <c r="C16" i="5" s="1"/>
  <c r="B15" i="5"/>
  <c r="C15" i="5" s="1"/>
  <c r="C14" i="5"/>
  <c r="B14" i="5"/>
  <c r="B19" i="5" s="1"/>
  <c r="G22" i="3"/>
  <c r="G21" i="3"/>
  <c r="G20" i="3"/>
  <c r="F19" i="3"/>
  <c r="G18" i="3"/>
  <c r="G24" i="3" s="1"/>
  <c r="G17" i="3"/>
  <c r="F16" i="3"/>
  <c r="G14" i="3"/>
  <c r="F13" i="3"/>
  <c r="H12" i="3"/>
  <c r="F129" i="2"/>
  <c r="F128" i="2"/>
  <c r="F127" i="2"/>
  <c r="F126" i="2"/>
  <c r="F125" i="2"/>
  <c r="F124" i="2"/>
  <c r="F123" i="2"/>
  <c r="F122" i="2"/>
  <c r="F121" i="2"/>
  <c r="F120" i="2"/>
  <c r="F119" i="2"/>
  <c r="F118" i="2"/>
  <c r="F117" i="2"/>
  <c r="F86" i="2"/>
  <c r="G86" i="2" s="1"/>
  <c r="F85" i="2"/>
  <c r="G85" i="2" s="1"/>
  <c r="F84" i="2"/>
  <c r="G84" i="2" s="1"/>
  <c r="F83" i="2"/>
  <c r="G83" i="2" s="1"/>
  <c r="F82" i="2"/>
  <c r="G82" i="2" s="1"/>
  <c r="F81" i="2"/>
  <c r="G81" i="2" s="1"/>
  <c r="F80" i="2"/>
  <c r="G80" i="2" s="1"/>
  <c r="F79" i="2"/>
  <c r="G79" i="2" s="1"/>
  <c r="F78" i="2"/>
  <c r="G78" i="2" s="1"/>
  <c r="F77" i="2"/>
  <c r="G77" i="2" s="1"/>
  <c r="F76" i="2"/>
  <c r="G76" i="2" s="1"/>
  <c r="F75" i="2"/>
  <c r="G75" i="2" s="1"/>
  <c r="F74" i="2"/>
  <c r="G74" i="2" s="1"/>
  <c r="F73" i="2"/>
  <c r="G73" i="2" s="1"/>
  <c r="F72" i="2"/>
  <c r="G72" i="2" s="1"/>
  <c r="F71" i="2"/>
  <c r="G71" i="2" s="1"/>
  <c r="F70" i="2"/>
  <c r="G70" i="2" s="1"/>
  <c r="F69" i="2"/>
  <c r="G69" i="2" s="1"/>
  <c r="F68" i="2"/>
  <c r="G68" i="2" s="1"/>
  <c r="F67" i="2"/>
  <c r="G67" i="2" s="1"/>
  <c r="G66" i="2"/>
  <c r="F65" i="2"/>
  <c r="G65" i="2" s="1"/>
  <c r="G64" i="2"/>
  <c r="F64" i="2"/>
  <c r="F63" i="2"/>
  <c r="G63" i="2" s="1"/>
  <c r="G62" i="2"/>
  <c r="F62" i="2"/>
  <c r="F61" i="2"/>
  <c r="G61" i="2" s="1"/>
  <c r="F60" i="2"/>
  <c r="G60" i="2" s="1"/>
  <c r="F59" i="2"/>
  <c r="G59" i="2" s="1"/>
  <c r="F58" i="2"/>
  <c r="G58" i="2" s="1"/>
  <c r="F57" i="2"/>
  <c r="G57" i="2" s="1"/>
  <c r="G56" i="2"/>
  <c r="F56" i="2"/>
  <c r="F55" i="2"/>
  <c r="G55" i="2" s="1"/>
  <c r="G54" i="2"/>
  <c r="F54" i="2"/>
  <c r="F53" i="2"/>
  <c r="G53" i="2" s="1"/>
  <c r="F52" i="2"/>
  <c r="G52" i="2" s="1"/>
  <c r="F51" i="2"/>
  <c r="G51" i="2" s="1"/>
  <c r="F50" i="2"/>
  <c r="G50" i="2" s="1"/>
  <c r="F49" i="2"/>
  <c r="G49" i="2" s="1"/>
  <c r="G48" i="2"/>
  <c r="F48" i="2"/>
  <c r="F47" i="2"/>
  <c r="G47" i="2" s="1"/>
  <c r="G46" i="2"/>
  <c r="F46" i="2"/>
  <c r="F45" i="2"/>
  <c r="G45" i="2" s="1"/>
  <c r="F44" i="2"/>
  <c r="G44" i="2" s="1"/>
  <c r="F43" i="2"/>
  <c r="G43" i="2" s="1"/>
  <c r="F42" i="2"/>
  <c r="G42" i="2" s="1"/>
  <c r="F41" i="2"/>
  <c r="G41" i="2" s="1"/>
  <c r="G40" i="2"/>
  <c r="F40" i="2"/>
  <c r="F39" i="2"/>
  <c r="G39" i="2" s="1"/>
  <c r="G38" i="2"/>
  <c r="F38" i="2"/>
  <c r="F37" i="2"/>
  <c r="G37" i="2" s="1"/>
  <c r="F36" i="2"/>
  <c r="G36" i="2" s="1"/>
  <c r="F35" i="2"/>
  <c r="G35" i="2" s="1"/>
  <c r="F34" i="2"/>
  <c r="G34" i="2" s="1"/>
  <c r="F33" i="2"/>
  <c r="G33" i="2" s="1"/>
  <c r="G32" i="2"/>
  <c r="F32" i="2"/>
  <c r="F31" i="2"/>
  <c r="G31" i="2" s="1"/>
  <c r="G30" i="2"/>
  <c r="F30" i="2"/>
  <c r="F29" i="2"/>
  <c r="G29" i="2" s="1"/>
  <c r="F28" i="2"/>
  <c r="G28" i="2" s="1"/>
  <c r="F27" i="2"/>
  <c r="G27" i="2" s="1"/>
  <c r="F26" i="2"/>
  <c r="G26" i="2" s="1"/>
  <c r="F25" i="2"/>
  <c r="G25" i="2" s="1"/>
  <c r="G24" i="2"/>
  <c r="F24" i="2"/>
  <c r="F23" i="2"/>
  <c r="G23" i="2" s="1"/>
  <c r="G22" i="2"/>
  <c r="F22" i="2"/>
  <c r="F21" i="2"/>
  <c r="G21" i="2" s="1"/>
  <c r="F20" i="2"/>
  <c r="G20" i="2" s="1"/>
  <c r="F19" i="2"/>
  <c r="G19" i="2" s="1"/>
  <c r="F18" i="2"/>
  <c r="G18" i="2" s="1"/>
  <c r="F17" i="2"/>
  <c r="G17" i="2" s="1"/>
  <c r="G16" i="2"/>
  <c r="F16" i="2"/>
  <c r="F15" i="2"/>
  <c r="G15" i="2" s="1"/>
  <c r="G14" i="2"/>
  <c r="F14" i="2"/>
  <c r="F13" i="2"/>
  <c r="G13" i="2" s="1"/>
  <c r="F12" i="2"/>
  <c r="G12" i="2" s="1"/>
  <c r="F285" i="1"/>
  <c r="F284" i="1"/>
  <c r="G283" i="1"/>
  <c r="G282" i="1"/>
  <c r="G281" i="1"/>
  <c r="G280" i="1"/>
  <c r="G279" i="1"/>
  <c r="G278" i="1"/>
  <c r="G277" i="1"/>
  <c r="G276" i="1"/>
  <c r="G275" i="1"/>
  <c r="G274" i="1"/>
  <c r="G273" i="1"/>
  <c r="G272" i="1"/>
  <c r="G271" i="1"/>
  <c r="G270" i="1"/>
  <c r="G269" i="1"/>
  <c r="G268" i="1"/>
  <c r="G267" i="1"/>
  <c r="G266" i="1"/>
  <c r="G265" i="1"/>
  <c r="G264" i="1"/>
  <c r="G263" i="1"/>
  <c r="G262" i="1"/>
  <c r="G284" i="1" s="1"/>
  <c r="G285" i="1" s="1"/>
  <c r="F239" i="1"/>
  <c r="F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F198" i="1"/>
  <c r="F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4" i="1"/>
  <c r="G163" i="1"/>
  <c r="F146" i="1"/>
  <c r="F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45" i="1" s="1"/>
  <c r="G146" i="1" s="1"/>
  <c r="G89" i="1"/>
  <c r="G88" i="1"/>
  <c r="G87" i="1"/>
  <c r="G86" i="1"/>
  <c r="G85" i="1"/>
  <c r="G84" i="1"/>
  <c r="G83" i="1"/>
  <c r="G82" i="1"/>
  <c r="G81" i="1"/>
  <c r="G80" i="1"/>
  <c r="G79" i="1"/>
  <c r="G78" i="1"/>
  <c r="G77" i="1"/>
  <c r="G76" i="1"/>
  <c r="G75" i="1"/>
  <c r="G74" i="1"/>
  <c r="G73" i="1"/>
  <c r="G72" i="1"/>
  <c r="G71" i="1"/>
  <c r="G70"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19" i="17" s="1"/>
  <c r="I19" i="17" s="1"/>
  <c r="G20" i="1"/>
  <c r="G11" i="17" s="1"/>
  <c r="G19" i="1"/>
  <c r="G18" i="1"/>
  <c r="G17" i="1"/>
  <c r="E25" i="12" s="1"/>
  <c r="G16" i="1"/>
  <c r="F15" i="1"/>
  <c r="G14" i="1"/>
  <c r="G13" i="1"/>
  <c r="H12" i="1"/>
  <c r="H48" i="10" l="1"/>
  <c r="D49" i="10"/>
  <c r="AR27" i="17"/>
  <c r="AS27" i="17"/>
  <c r="AS20" i="17"/>
  <c r="AR20" i="17"/>
  <c r="C31" i="5"/>
  <c r="B42" i="5"/>
  <c r="I6" i="10"/>
  <c r="I5" i="10" s="1"/>
  <c r="E18" i="10"/>
  <c r="E24" i="10"/>
  <c r="I72" i="10"/>
  <c r="H79" i="10"/>
  <c r="I79" i="10" s="1"/>
  <c r="D105" i="10"/>
  <c r="H105" i="10" s="1"/>
  <c r="E49" i="12"/>
  <c r="L9" i="17"/>
  <c r="T45" i="17"/>
  <c r="AR59" i="17"/>
  <c r="AS59" i="17"/>
  <c r="E16" i="10"/>
  <c r="E13" i="10" s="1"/>
  <c r="H17" i="10"/>
  <c r="I17" i="10" s="1"/>
  <c r="H46" i="10"/>
  <c r="H47" i="10" s="1"/>
  <c r="E104" i="10"/>
  <c r="E118" i="10"/>
  <c r="J9" i="17"/>
  <c r="J8" i="17" s="1"/>
  <c r="AQ13" i="17"/>
  <c r="AQ17" i="17"/>
  <c r="AS17" i="17" s="1"/>
  <c r="AR26" i="17"/>
  <c r="AS26" i="17"/>
  <c r="AQ39" i="17"/>
  <c r="R36" i="17"/>
  <c r="AQ40" i="17"/>
  <c r="J64" i="22"/>
  <c r="K64" i="22" s="1"/>
  <c r="J64" i="20"/>
  <c r="K64" i="20" s="1"/>
  <c r="B51" i="5"/>
  <c r="AQ14" i="17"/>
  <c r="I33" i="17"/>
  <c r="I29" i="17" s="1"/>
  <c r="B31" i="5"/>
  <c r="B73" i="5"/>
  <c r="E124" i="10"/>
  <c r="E126" i="10" s="1"/>
  <c r="B163" i="10" s="1"/>
  <c r="Q8" i="17"/>
  <c r="O29" i="17"/>
  <c r="L36" i="17"/>
  <c r="AQ38" i="17"/>
  <c r="D47" i="17"/>
  <c r="D62" i="17" s="1"/>
  <c r="I47" i="17"/>
  <c r="I62" i="17" s="1"/>
  <c r="U47" i="17"/>
  <c r="U62" i="17" s="1"/>
  <c r="O75" i="17"/>
  <c r="U65" i="17"/>
  <c r="AQ72" i="17"/>
  <c r="J77" i="17"/>
  <c r="J83" i="17" s="1"/>
  <c r="R83" i="17"/>
  <c r="AQ89" i="17"/>
  <c r="AQ97" i="17"/>
  <c r="J100" i="17"/>
  <c r="AQ107" i="17"/>
  <c r="D21" i="19"/>
  <c r="J28" i="19"/>
  <c r="K51" i="19"/>
  <c r="J51" i="20" s="1"/>
  <c r="E75" i="19"/>
  <c r="K67" i="19"/>
  <c r="J67" i="20" s="1"/>
  <c r="K71" i="19"/>
  <c r="K74" i="19"/>
  <c r="D77" i="19"/>
  <c r="K85" i="19"/>
  <c r="K89" i="19"/>
  <c r="E9" i="20"/>
  <c r="K25" i="20"/>
  <c r="E77" i="20"/>
  <c r="D101" i="20"/>
  <c r="E9" i="22"/>
  <c r="K19" i="22"/>
  <c r="G32" i="22"/>
  <c r="K38" i="22"/>
  <c r="G50" i="22"/>
  <c r="K54" i="22"/>
  <c r="K55" i="22"/>
  <c r="G69" i="22"/>
  <c r="G82" i="22"/>
  <c r="E92" i="22"/>
  <c r="D92" i="22" s="1"/>
  <c r="P5" i="23"/>
  <c r="R27" i="23"/>
  <c r="S109" i="23"/>
  <c r="S114" i="23"/>
  <c r="S112" i="23" s="1"/>
  <c r="R112" i="23"/>
  <c r="J121" i="24"/>
  <c r="S116" i="24"/>
  <c r="S115" i="24" s="1"/>
  <c r="Q115" i="24"/>
  <c r="O100" i="17"/>
  <c r="D29" i="19"/>
  <c r="E83" i="19"/>
  <c r="K88" i="19"/>
  <c r="J88" i="20" s="1"/>
  <c r="K10" i="20"/>
  <c r="K12" i="20"/>
  <c r="K18" i="20"/>
  <c r="G47" i="20"/>
  <c r="G59" i="20"/>
  <c r="G66" i="22"/>
  <c r="K67" i="22"/>
  <c r="K68" i="22"/>
  <c r="K73" i="22"/>
  <c r="K81" i="22"/>
  <c r="G93" i="22"/>
  <c r="S6" i="23"/>
  <c r="K7" i="23"/>
  <c r="D7" i="23" s="1"/>
  <c r="I15" i="23"/>
  <c r="S16" i="23"/>
  <c r="E17" i="23"/>
  <c r="S17" i="23"/>
  <c r="E18" i="23"/>
  <c r="S18" i="23"/>
  <c r="S21" i="23"/>
  <c r="I28" i="23"/>
  <c r="G30" i="23"/>
  <c r="S35" i="23"/>
  <c r="D41" i="23"/>
  <c r="L70" i="23"/>
  <c r="I46" i="23"/>
  <c r="I54" i="23"/>
  <c r="G55" i="23"/>
  <c r="I55" i="23" s="1"/>
  <c r="E55" i="23"/>
  <c r="R59" i="23"/>
  <c r="R57" i="23" s="1"/>
  <c r="R73" i="23"/>
  <c r="P73" i="23"/>
  <c r="H39" i="24"/>
  <c r="V39" i="24" s="1"/>
  <c r="D41" i="24"/>
  <c r="Q90" i="24"/>
  <c r="P88" i="24"/>
  <c r="E116" i="24"/>
  <c r="E115" i="24" s="1"/>
  <c r="G116" i="24"/>
  <c r="I116" i="24" s="1"/>
  <c r="I115" i="24" s="1"/>
  <c r="U75" i="17"/>
  <c r="AQ70" i="17"/>
  <c r="AS70" i="17" s="1"/>
  <c r="AQ87" i="17"/>
  <c r="AQ96" i="17"/>
  <c r="L105" i="17"/>
  <c r="D9" i="19"/>
  <c r="K24" i="19"/>
  <c r="J24" i="20" s="1"/>
  <c r="I75" i="19"/>
  <c r="K75" i="19" s="1"/>
  <c r="K78" i="19"/>
  <c r="J78" i="20" s="1"/>
  <c r="J109" i="20"/>
  <c r="K109" i="20" s="1"/>
  <c r="S9" i="23"/>
  <c r="K15" i="23"/>
  <c r="W17" i="23"/>
  <c r="K20" i="23"/>
  <c r="I29" i="23"/>
  <c r="E39" i="23"/>
  <c r="E46" i="23"/>
  <c r="D47" i="23"/>
  <c r="D48" i="23" s="1"/>
  <c r="S77" i="23"/>
  <c r="S80" i="23"/>
  <c r="S104" i="23"/>
  <c r="K19" i="24"/>
  <c r="K8" i="24"/>
  <c r="D8" i="24" s="1"/>
  <c r="H8" i="24" s="1"/>
  <c r="K6" i="24"/>
  <c r="D6" i="24" s="1"/>
  <c r="K15" i="24"/>
  <c r="K12" i="24"/>
  <c r="D12" i="24" s="1"/>
  <c r="K7" i="24"/>
  <c r="D7" i="24" s="1"/>
  <c r="H7" i="24" s="1"/>
  <c r="V7" i="24" s="1"/>
  <c r="N5" i="24"/>
  <c r="P13" i="24"/>
  <c r="S19" i="24"/>
  <c r="S82" i="24"/>
  <c r="AQ31" i="17"/>
  <c r="L29" i="17"/>
  <c r="K45" i="17"/>
  <c r="AQ41" i="17"/>
  <c r="P47" i="17"/>
  <c r="P62" i="17" s="1"/>
  <c r="AQ49" i="17"/>
  <c r="AQ55" i="17"/>
  <c r="AQ58" i="17"/>
  <c r="AQ66" i="17"/>
  <c r="R65" i="17"/>
  <c r="AQ80" i="17"/>
  <c r="AR80" i="17" s="1"/>
  <c r="AQ88" i="17"/>
  <c r="U90" i="17"/>
  <c r="U100" i="17" s="1"/>
  <c r="AQ93" i="17"/>
  <c r="G100" i="17"/>
  <c r="AQ109" i="17"/>
  <c r="AS109" i="17" s="1"/>
  <c r="K23" i="19"/>
  <c r="J23" i="20" s="1"/>
  <c r="K77" i="19"/>
  <c r="J77" i="20" s="1"/>
  <c r="K100" i="19"/>
  <c r="J100" i="20" s="1"/>
  <c r="K112" i="19"/>
  <c r="E21" i="20"/>
  <c r="D21" i="20" s="1"/>
  <c r="E92" i="20"/>
  <c r="D92" i="20" s="1"/>
  <c r="K51" i="22"/>
  <c r="E83" i="22"/>
  <c r="G87" i="22"/>
  <c r="K10" i="23"/>
  <c r="D10" i="23" s="1"/>
  <c r="S22" i="23"/>
  <c r="S24" i="23"/>
  <c r="S30" i="23"/>
  <c r="R38" i="23"/>
  <c r="S51" i="23"/>
  <c r="M121" i="23"/>
  <c r="H23" i="24"/>
  <c r="V23" i="24" s="1"/>
  <c r="E23" i="24"/>
  <c r="H29" i="24"/>
  <c r="I29" i="24" s="1"/>
  <c r="I28" i="24"/>
  <c r="E54" i="24"/>
  <c r="W68" i="24"/>
  <c r="W67" i="24" s="1"/>
  <c r="W78" i="24"/>
  <c r="U73" i="24"/>
  <c r="P57" i="23"/>
  <c r="S62" i="23"/>
  <c r="S75" i="23"/>
  <c r="S79" i="23"/>
  <c r="V88" i="23"/>
  <c r="V97" i="23" s="1"/>
  <c r="S89" i="23"/>
  <c r="I92" i="23"/>
  <c r="W94" i="23"/>
  <c r="R118" i="23"/>
  <c r="S124" i="23"/>
  <c r="S126" i="23" s="1"/>
  <c r="S6" i="24"/>
  <c r="S5" i="24" s="1"/>
  <c r="U5" i="24"/>
  <c r="S10" i="24"/>
  <c r="M42" i="24"/>
  <c r="S20" i="24"/>
  <c r="S24" i="24"/>
  <c r="O42" i="24"/>
  <c r="S29" i="24"/>
  <c r="S32" i="24"/>
  <c r="S53" i="24"/>
  <c r="T57" i="24"/>
  <c r="S62" i="24"/>
  <c r="S68" i="24"/>
  <c r="S67" i="24" s="1"/>
  <c r="H72" i="24"/>
  <c r="S77" i="24"/>
  <c r="E97" i="24"/>
  <c r="B161" i="24" s="1"/>
  <c r="S90" i="24"/>
  <c r="S91" i="24"/>
  <c r="R92" i="24"/>
  <c r="L121" i="24"/>
  <c r="S119" i="24"/>
  <c r="R118" i="24"/>
  <c r="E124" i="24"/>
  <c r="E126" i="24" s="1"/>
  <c r="B163" i="24" s="1"/>
  <c r="K57" i="23"/>
  <c r="O57" i="23"/>
  <c r="L121" i="23"/>
  <c r="T121" i="23"/>
  <c r="E101" i="23"/>
  <c r="E103" i="23"/>
  <c r="I104" i="23"/>
  <c r="S105" i="23"/>
  <c r="S7" i="24"/>
  <c r="E8" i="24"/>
  <c r="E16" i="24"/>
  <c r="E17" i="24"/>
  <c r="Q13" i="24"/>
  <c r="S21" i="24"/>
  <c r="I23" i="24"/>
  <c r="K70" i="24"/>
  <c r="O70" i="24"/>
  <c r="I54" i="24"/>
  <c r="Q59" i="24"/>
  <c r="R57" i="24"/>
  <c r="Q88" i="24"/>
  <c r="S82" i="23"/>
  <c r="W88" i="23"/>
  <c r="Q92" i="23"/>
  <c r="Q100" i="23"/>
  <c r="E102" i="23"/>
  <c r="S9" i="24"/>
  <c r="S11" i="24"/>
  <c r="S15" i="24"/>
  <c r="S13" i="24" s="1"/>
  <c r="R13" i="24"/>
  <c r="S34" i="24"/>
  <c r="E39" i="24"/>
  <c r="R45" i="24"/>
  <c r="S60" i="24"/>
  <c r="S59" i="24" s="1"/>
  <c r="I68" i="24"/>
  <c r="I67" i="24" s="1"/>
  <c r="S76" i="24"/>
  <c r="S79" i="24"/>
  <c r="I80" i="24"/>
  <c r="S81" i="24"/>
  <c r="W93" i="24"/>
  <c r="W92" i="24" s="1"/>
  <c r="M121" i="24"/>
  <c r="N121" i="24"/>
  <c r="Q109" i="24"/>
  <c r="E12" i="24"/>
  <c r="H12" i="24"/>
  <c r="I17" i="24"/>
  <c r="V17" i="24"/>
  <c r="H48" i="24"/>
  <c r="D49" i="24"/>
  <c r="E49" i="24" s="1"/>
  <c r="E48" i="24"/>
  <c r="E10" i="24"/>
  <c r="H10" i="24"/>
  <c r="E7" i="24"/>
  <c r="G7" i="24"/>
  <c r="I7" i="24" s="1"/>
  <c r="D19" i="24"/>
  <c r="E19" i="24" s="1"/>
  <c r="H19" i="24"/>
  <c r="H6" i="24"/>
  <c r="V6" i="24" s="1"/>
  <c r="E6" i="24"/>
  <c r="I8" i="24"/>
  <c r="V8" i="24"/>
  <c r="W8" i="24" s="1"/>
  <c r="I15" i="24"/>
  <c r="V15" i="24"/>
  <c r="W15" i="24" s="1"/>
  <c r="I16" i="24"/>
  <c r="V16" i="24"/>
  <c r="W16" i="24" s="1"/>
  <c r="W17" i="24"/>
  <c r="W18" i="24"/>
  <c r="J42" i="24"/>
  <c r="G49" i="24"/>
  <c r="G50" i="24"/>
  <c r="Q54" i="24"/>
  <c r="S54" i="24" s="1"/>
  <c r="G6" i="24"/>
  <c r="K11" i="24"/>
  <c r="D11" i="24" s="1"/>
  <c r="I18" i="24"/>
  <c r="R26" i="24"/>
  <c r="R42" i="24" s="1"/>
  <c r="U30" i="24"/>
  <c r="V27" i="24"/>
  <c r="U39" i="24"/>
  <c r="I39" i="24"/>
  <c r="H41" i="24"/>
  <c r="E41" i="24"/>
  <c r="Q52" i="24"/>
  <c r="S52" i="24" s="1"/>
  <c r="N42" i="24"/>
  <c r="S28" i="24"/>
  <c r="S27" i="24" s="1"/>
  <c r="Q27" i="24"/>
  <c r="D31" i="24"/>
  <c r="H30" i="24"/>
  <c r="I30" i="24" s="1"/>
  <c r="E30" i="24"/>
  <c r="S31" i="24"/>
  <c r="P27" i="24"/>
  <c r="P26" i="24" s="1"/>
  <c r="P42" i="24" s="1"/>
  <c r="S40" i="24"/>
  <c r="P38" i="24"/>
  <c r="P5" i="24"/>
  <c r="W7" i="24"/>
  <c r="K9" i="24"/>
  <c r="D9" i="24" s="1"/>
  <c r="K18" i="24"/>
  <c r="K20" i="24"/>
  <c r="V24" i="24"/>
  <c r="W24" i="24" s="1"/>
  <c r="I24" i="24"/>
  <c r="D24" i="24"/>
  <c r="E24" i="24" s="1"/>
  <c r="L42" i="24"/>
  <c r="G34" i="24"/>
  <c r="U35" i="24"/>
  <c r="W35" i="24" s="1"/>
  <c r="P45" i="24"/>
  <c r="U51" i="24"/>
  <c r="P92" i="24"/>
  <c r="Q94" i="24"/>
  <c r="Q92" i="24" s="1"/>
  <c r="T42" i="24"/>
  <c r="S39" i="24"/>
  <c r="Q38" i="24"/>
  <c r="Q45" i="24"/>
  <c r="H46" i="24"/>
  <c r="E46" i="24"/>
  <c r="R70" i="24"/>
  <c r="U52" i="24"/>
  <c r="U61" i="24"/>
  <c r="U23" i="24"/>
  <c r="W23" i="24" s="1"/>
  <c r="C29" i="24"/>
  <c r="E29" i="24" s="1"/>
  <c r="G32" i="24"/>
  <c r="J70" i="24"/>
  <c r="N70" i="24"/>
  <c r="S49" i="24"/>
  <c r="S50" i="24"/>
  <c r="W55" i="24"/>
  <c r="P73" i="24"/>
  <c r="W79" i="24"/>
  <c r="W73" i="24" s="1"/>
  <c r="S84" i="24"/>
  <c r="I88" i="24"/>
  <c r="I97" i="24" s="1"/>
  <c r="V88" i="24"/>
  <c r="V97" i="24" s="1"/>
  <c r="W89" i="24"/>
  <c r="W88" i="24" s="1"/>
  <c r="W97" i="24" s="1"/>
  <c r="Q100" i="24"/>
  <c r="I103" i="24"/>
  <c r="V103" i="24"/>
  <c r="W103" i="24" s="1"/>
  <c r="U100" i="24"/>
  <c r="S132" i="24"/>
  <c r="I55" i="24"/>
  <c r="E86" i="24"/>
  <c r="B160" i="24" s="1"/>
  <c r="D79" i="24"/>
  <c r="H79" i="24" s="1"/>
  <c r="V79" i="24" s="1"/>
  <c r="S80" i="24"/>
  <c r="K121" i="24"/>
  <c r="O121" i="24"/>
  <c r="T121" i="24"/>
  <c r="E114" i="24"/>
  <c r="H114" i="24"/>
  <c r="I114" i="24" s="1"/>
  <c r="I112" i="24" s="1"/>
  <c r="R132" i="24"/>
  <c r="L70" i="24"/>
  <c r="T70" i="24"/>
  <c r="C47" i="24"/>
  <c r="E47" i="24" s="1"/>
  <c r="U54" i="24"/>
  <c r="W54" i="24" s="1"/>
  <c r="Q57" i="24"/>
  <c r="S65" i="24"/>
  <c r="S64" i="24" s="1"/>
  <c r="S57" i="24" s="1"/>
  <c r="W72" i="24"/>
  <c r="U86" i="24"/>
  <c r="R73" i="24"/>
  <c r="E102" i="24"/>
  <c r="H102" i="24"/>
  <c r="I102" i="24" s="1"/>
  <c r="W119" i="24"/>
  <c r="W118" i="24" s="1"/>
  <c r="V118" i="24"/>
  <c r="P67" i="24"/>
  <c r="I72" i="24"/>
  <c r="V73" i="24"/>
  <c r="V86" i="24" s="1"/>
  <c r="S74" i="24"/>
  <c r="S73" i="24" s="1"/>
  <c r="U97" i="24"/>
  <c r="S89" i="24"/>
  <c r="S88" i="24" s="1"/>
  <c r="P100" i="24"/>
  <c r="P121" i="24" s="1"/>
  <c r="S103" i="24"/>
  <c r="S100" i="24" s="1"/>
  <c r="E110" i="24"/>
  <c r="W116" i="24"/>
  <c r="W115" i="24" s="1"/>
  <c r="V115" i="24"/>
  <c r="Q121" i="24"/>
  <c r="E101" i="24"/>
  <c r="E100" i="24" s="1"/>
  <c r="H101" i="24"/>
  <c r="I101" i="24" s="1"/>
  <c r="S105" i="24"/>
  <c r="S114" i="24"/>
  <c r="S112" i="24" s="1"/>
  <c r="W124" i="24"/>
  <c r="W126" i="24" s="1"/>
  <c r="V126" i="24"/>
  <c r="J95" i="24"/>
  <c r="W102" i="24"/>
  <c r="R100" i="24"/>
  <c r="R121" i="24" s="1"/>
  <c r="H104" i="24"/>
  <c r="D105" i="24"/>
  <c r="E104" i="24"/>
  <c r="I110" i="24"/>
  <c r="U110" i="24"/>
  <c r="H111" i="24"/>
  <c r="I111" i="24" s="1"/>
  <c r="E111" i="24"/>
  <c r="S120" i="24"/>
  <c r="S118" i="24" s="1"/>
  <c r="I124" i="24"/>
  <c r="I126" i="24" s="1"/>
  <c r="S124" i="24"/>
  <c r="S126" i="24" s="1"/>
  <c r="M132" i="24"/>
  <c r="H48" i="23"/>
  <c r="D49" i="23"/>
  <c r="H10" i="23"/>
  <c r="E10" i="23"/>
  <c r="H12" i="23"/>
  <c r="E12" i="23"/>
  <c r="I16" i="23"/>
  <c r="V16" i="23"/>
  <c r="W16" i="23" s="1"/>
  <c r="I47" i="23"/>
  <c r="H7" i="23"/>
  <c r="V7" i="23" s="1"/>
  <c r="W7" i="23" s="1"/>
  <c r="E7" i="23"/>
  <c r="S60" i="23"/>
  <c r="Q59" i="23"/>
  <c r="Q57" i="23" s="1"/>
  <c r="N5" i="23"/>
  <c r="K6" i="23"/>
  <c r="K8" i="23"/>
  <c r="D8" i="23" s="1"/>
  <c r="H8" i="23" s="1"/>
  <c r="S8" i="23"/>
  <c r="S5" i="23" s="1"/>
  <c r="P13" i="23"/>
  <c r="S15" i="23"/>
  <c r="S13" i="23" s="1"/>
  <c r="V15" i="23"/>
  <c r="W15" i="23" s="1"/>
  <c r="E16" i="23"/>
  <c r="I17" i="23"/>
  <c r="H18" i="23"/>
  <c r="T42" i="23"/>
  <c r="S39" i="23"/>
  <c r="Q38" i="23"/>
  <c r="H47" i="23"/>
  <c r="V47" i="23" s="1"/>
  <c r="W47" i="23" s="1"/>
  <c r="V46" i="23"/>
  <c r="R45" i="23"/>
  <c r="R70" i="23" s="1"/>
  <c r="U52" i="23"/>
  <c r="U68" i="23"/>
  <c r="Q132" i="23"/>
  <c r="S132" i="23"/>
  <c r="Q5" i="23"/>
  <c r="H20" i="23"/>
  <c r="K21" i="23"/>
  <c r="K22" i="23" s="1"/>
  <c r="K23" i="23" s="1"/>
  <c r="G34" i="23"/>
  <c r="K11" i="23"/>
  <c r="D11" i="23" s="1"/>
  <c r="Q13" i="23"/>
  <c r="U13" i="23"/>
  <c r="K17" i="23"/>
  <c r="E19" i="23"/>
  <c r="J42" i="23"/>
  <c r="N42" i="23"/>
  <c r="S31" i="23"/>
  <c r="P27" i="23"/>
  <c r="S34" i="23"/>
  <c r="S40" i="23"/>
  <c r="P38" i="23"/>
  <c r="E48" i="23"/>
  <c r="G49" i="23"/>
  <c r="E49" i="23"/>
  <c r="G50" i="23"/>
  <c r="G61" i="23"/>
  <c r="D20" i="23"/>
  <c r="V24" i="23"/>
  <c r="W24" i="23" s="1"/>
  <c r="I24" i="23"/>
  <c r="D24" i="23"/>
  <c r="E24" i="23" s="1"/>
  <c r="U35" i="23"/>
  <c r="W35" i="23" s="1"/>
  <c r="U51" i="23"/>
  <c r="Q90" i="23"/>
  <c r="Q88" i="23" s="1"/>
  <c r="K9" i="23"/>
  <c r="D9" i="23" s="1"/>
  <c r="R13" i="23"/>
  <c r="K16" i="23"/>
  <c r="K18" i="23"/>
  <c r="H19" i="23"/>
  <c r="S28" i="23"/>
  <c r="Q27" i="23"/>
  <c r="D31" i="23"/>
  <c r="H30" i="23"/>
  <c r="U30" i="23"/>
  <c r="I30" i="23"/>
  <c r="V27" i="23"/>
  <c r="U39" i="23"/>
  <c r="I39" i="23"/>
  <c r="H41" i="23"/>
  <c r="E41" i="23"/>
  <c r="Q52" i="23"/>
  <c r="V73" i="23"/>
  <c r="V86" i="23" s="1"/>
  <c r="W76" i="23"/>
  <c r="W93" i="23"/>
  <c r="W92" i="23" s="1"/>
  <c r="W97" i="23" s="1"/>
  <c r="U92" i="23"/>
  <c r="G32" i="23"/>
  <c r="S49" i="23"/>
  <c r="S50" i="23"/>
  <c r="Q53" i="23"/>
  <c r="S53" i="23"/>
  <c r="E54" i="23"/>
  <c r="U55" i="23"/>
  <c r="W55" i="23" s="1"/>
  <c r="E86" i="23"/>
  <c r="B160" i="23" s="1"/>
  <c r="W78" i="23"/>
  <c r="U73" i="23"/>
  <c r="U97" i="23"/>
  <c r="I97" i="23"/>
  <c r="P92" i="23"/>
  <c r="S93" i="23"/>
  <c r="J121" i="23"/>
  <c r="N121" i="23"/>
  <c r="Q121" i="23"/>
  <c r="W103" i="23"/>
  <c r="U100" i="23"/>
  <c r="V23" i="23"/>
  <c r="W23" i="23" s="1"/>
  <c r="K70" i="23"/>
  <c r="O70" i="23"/>
  <c r="S55" i="23"/>
  <c r="S61" i="23"/>
  <c r="S65" i="23"/>
  <c r="S64" i="23" s="1"/>
  <c r="Q64" i="23"/>
  <c r="Q67" i="23"/>
  <c r="S68" i="23"/>
  <c r="S67" i="23" s="1"/>
  <c r="U72" i="23"/>
  <c r="S103" i="23"/>
  <c r="P100" i="23"/>
  <c r="P45" i="23"/>
  <c r="P70" i="23" s="1"/>
  <c r="C65" i="23"/>
  <c r="C47" i="23"/>
  <c r="E47" i="23" s="1"/>
  <c r="W54" i="23"/>
  <c r="S74" i="23"/>
  <c r="S73" i="23" s="1"/>
  <c r="Q73" i="23"/>
  <c r="H79" i="23"/>
  <c r="V79" i="23" s="1"/>
  <c r="W79" i="23" s="1"/>
  <c r="C79" i="23"/>
  <c r="G79" i="23" s="1"/>
  <c r="I79" i="23" s="1"/>
  <c r="I73" i="23" s="1"/>
  <c r="P121" i="23"/>
  <c r="H68" i="23"/>
  <c r="V68" i="23" s="1"/>
  <c r="V67" i="23" s="1"/>
  <c r="H72" i="23"/>
  <c r="S94" i="23"/>
  <c r="K121" i="23"/>
  <c r="O121" i="23"/>
  <c r="S101" i="23"/>
  <c r="I102" i="23"/>
  <c r="I103" i="23"/>
  <c r="G124" i="23"/>
  <c r="I124" i="23" s="1"/>
  <c r="I126" i="23" s="1"/>
  <c r="E124" i="23"/>
  <c r="E126" i="23" s="1"/>
  <c r="B163" i="23" s="1"/>
  <c r="R132" i="23"/>
  <c r="E97" i="23"/>
  <c r="B161" i="23" s="1"/>
  <c r="S102" i="23"/>
  <c r="V100" i="23"/>
  <c r="V121" i="23" s="1"/>
  <c r="G105" i="23"/>
  <c r="I110" i="23"/>
  <c r="I109" i="23" s="1"/>
  <c r="S119" i="23"/>
  <c r="S118" i="23" s="1"/>
  <c r="S85" i="23"/>
  <c r="S91" i="23"/>
  <c r="J95" i="23"/>
  <c r="J97" i="23" s="1"/>
  <c r="R100" i="23"/>
  <c r="R121" i="23" s="1"/>
  <c r="W102" i="23"/>
  <c r="W100" i="23" s="1"/>
  <c r="E104" i="23"/>
  <c r="D105" i="23"/>
  <c r="H105" i="23" s="1"/>
  <c r="U110" i="23"/>
  <c r="E111" i="23"/>
  <c r="E109" i="23" s="1"/>
  <c r="P88" i="23"/>
  <c r="AS56" i="17"/>
  <c r="AR56" i="17"/>
  <c r="G50" i="10"/>
  <c r="C22" i="15"/>
  <c r="D21" i="15"/>
  <c r="D22" i="15" s="1"/>
  <c r="I11" i="17"/>
  <c r="AS13" i="17"/>
  <c r="AR13" i="17"/>
  <c r="AR17" i="17"/>
  <c r="AQ37" i="17"/>
  <c r="AS41" i="17"/>
  <c r="AR41" i="17"/>
  <c r="AS81" i="17"/>
  <c r="AR81" i="17"/>
  <c r="AS107" i="17"/>
  <c r="AR107" i="17"/>
  <c r="K8" i="19"/>
  <c r="J8" i="20" s="1"/>
  <c r="K8" i="20" s="1"/>
  <c r="J60" i="22"/>
  <c r="K60" i="22" s="1"/>
  <c r="J60" i="20"/>
  <c r="K60" i="20" s="1"/>
  <c r="K95" i="22"/>
  <c r="G95" i="22"/>
  <c r="K102" i="22"/>
  <c r="G102" i="22"/>
  <c r="I105" i="22"/>
  <c r="H13" i="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 r="H54" i="1" s="1"/>
  <c r="H55" i="1" s="1"/>
  <c r="H56" i="1" s="1"/>
  <c r="H57" i="1" s="1"/>
  <c r="H58" i="1" s="1"/>
  <c r="H59" i="1" s="1"/>
  <c r="H60" i="1" s="1"/>
  <c r="H61" i="1" s="1"/>
  <c r="H62" i="1" s="1"/>
  <c r="H63" i="1" s="1"/>
  <c r="H64" i="1" s="1"/>
  <c r="H65" i="1" s="1"/>
  <c r="H66" i="1" s="1"/>
  <c r="H67" i="1" s="1"/>
  <c r="H68" i="1" s="1"/>
  <c r="H69" i="1" s="1"/>
  <c r="H70" i="1" s="1"/>
  <c r="H71" i="1" s="1"/>
  <c r="H72" i="1" s="1"/>
  <c r="H73" i="1" s="1"/>
  <c r="H74" i="1" s="1"/>
  <c r="H75" i="1" s="1"/>
  <c r="H76" i="1" s="1"/>
  <c r="H77" i="1" s="1"/>
  <c r="H78" i="1" s="1"/>
  <c r="H79" i="1" s="1"/>
  <c r="H80" i="1" s="1"/>
  <c r="H81" i="1" s="1"/>
  <c r="H82" i="1" s="1"/>
  <c r="H83" i="1" s="1"/>
  <c r="H84" i="1" s="1"/>
  <c r="H85" i="1" s="1"/>
  <c r="H86" i="1" s="1"/>
  <c r="H87" i="1" s="1"/>
  <c r="H88" i="1" s="1"/>
  <c r="H89" i="1" s="1"/>
  <c r="H91" i="1" s="1"/>
  <c r="D13" i="13"/>
  <c r="D21" i="13" s="1"/>
  <c r="D13" i="12"/>
  <c r="D21" i="12" s="1"/>
  <c r="F91" i="1"/>
  <c r="F92" i="1" s="1"/>
  <c r="C81" i="5"/>
  <c r="Y116" i="6"/>
  <c r="AE32" i="6" s="1"/>
  <c r="H39" i="10"/>
  <c r="I39" i="10" s="1"/>
  <c r="D41" i="10"/>
  <c r="E39" i="10"/>
  <c r="AS14" i="17"/>
  <c r="AR14" i="17"/>
  <c r="E24" i="13"/>
  <c r="G91" i="1"/>
  <c r="E24" i="12"/>
  <c r="G238" i="1"/>
  <c r="C51" i="5"/>
  <c r="H76" i="5"/>
  <c r="H77" i="5" s="1"/>
  <c r="C73" i="5"/>
  <c r="I42" i="10"/>
  <c r="E46" i="14"/>
  <c r="F45" i="14"/>
  <c r="AR24" i="17"/>
  <c r="AS24" i="17"/>
  <c r="AS49" i="17"/>
  <c r="AR49" i="17"/>
  <c r="AS55" i="17"/>
  <c r="AR55" i="17"/>
  <c r="I77" i="17"/>
  <c r="I83" i="17" s="1"/>
  <c r="AQ78" i="17"/>
  <c r="AS96" i="17"/>
  <c r="AR96" i="17"/>
  <c r="AS98" i="17"/>
  <c r="AR98" i="17"/>
  <c r="F88" i="2"/>
  <c r="G25" i="3"/>
  <c r="B6" i="5"/>
  <c r="C19" i="5"/>
  <c r="G12" i="17"/>
  <c r="I12" i="17" s="1"/>
  <c r="G197" i="1"/>
  <c r="G198" i="1" s="1"/>
  <c r="G88" i="2"/>
  <c r="F24" i="3"/>
  <c r="F25" i="3" s="1"/>
  <c r="H13" i="3"/>
  <c r="H14" i="3" s="1"/>
  <c r="H15" i="3" s="1"/>
  <c r="H16" i="3" s="1"/>
  <c r="H17" i="3" s="1"/>
  <c r="H18" i="3" s="1"/>
  <c r="H19" i="3" s="1"/>
  <c r="H20" i="3" s="1"/>
  <c r="H21" i="3" s="1"/>
  <c r="H22" i="3" s="1"/>
  <c r="H24" i="3" s="1"/>
  <c r="C64" i="5"/>
  <c r="E30" i="10"/>
  <c r="G30" i="10"/>
  <c r="I30" i="10" s="1"/>
  <c r="E54" i="10"/>
  <c r="G54" i="10"/>
  <c r="I54" i="10" s="1"/>
  <c r="H55" i="10"/>
  <c r="I55" i="10" s="1"/>
  <c r="E55" i="10"/>
  <c r="E68" i="10"/>
  <c r="E67" i="10" s="1"/>
  <c r="B158" i="10" s="1"/>
  <c r="H68" i="10"/>
  <c r="I68" i="10" s="1"/>
  <c r="I67" i="10" s="1"/>
  <c r="AQ48" i="17"/>
  <c r="AR48" i="17" s="1"/>
  <c r="B64" i="5"/>
  <c r="E9" i="10"/>
  <c r="H9" i="10"/>
  <c r="I9" i="10" s="1"/>
  <c r="E20" i="10"/>
  <c r="G47" i="10"/>
  <c r="I47" i="10" s="1"/>
  <c r="I46" i="10"/>
  <c r="E48" i="10"/>
  <c r="G48" i="10"/>
  <c r="I48" i="10" s="1"/>
  <c r="I97" i="10"/>
  <c r="D91" i="17"/>
  <c r="F44" i="14"/>
  <c r="P9" i="17"/>
  <c r="P8" i="17" s="1"/>
  <c r="R10" i="17"/>
  <c r="R9" i="17" s="1"/>
  <c r="R8" i="17" s="1"/>
  <c r="U22" i="17"/>
  <c r="U21" i="17" s="1"/>
  <c r="U8" i="17" s="1"/>
  <c r="S21" i="17"/>
  <c r="AR31" i="17"/>
  <c r="AS31" i="17"/>
  <c r="AQ64" i="17"/>
  <c r="L65" i="17"/>
  <c r="L75" i="17" s="1"/>
  <c r="AQ69" i="17"/>
  <c r="AS72" i="17"/>
  <c r="AR72" i="17"/>
  <c r="AQ103" i="17"/>
  <c r="F105" i="17"/>
  <c r="D9" i="20"/>
  <c r="E8" i="20"/>
  <c r="C37" i="5"/>
  <c r="C42" i="5" s="1"/>
  <c r="Y116" i="8"/>
  <c r="AE64" i="8" s="1"/>
  <c r="C33" i="10"/>
  <c r="I86" i="10"/>
  <c r="H110" i="10"/>
  <c r="I110" i="10" s="1"/>
  <c r="E110" i="10"/>
  <c r="F9" i="17"/>
  <c r="AS73" i="17"/>
  <c r="AR73" i="17"/>
  <c r="H100" i="17"/>
  <c r="I91" i="17"/>
  <c r="I100" i="17" s="1"/>
  <c r="AS97" i="17"/>
  <c r="AR97" i="17"/>
  <c r="D29" i="20"/>
  <c r="G31" i="20"/>
  <c r="I29" i="20"/>
  <c r="E26" i="12"/>
  <c r="E26" i="13"/>
  <c r="B154" i="10"/>
  <c r="E7" i="10"/>
  <c r="G7" i="10"/>
  <c r="I7" i="10" s="1"/>
  <c r="H8" i="10"/>
  <c r="I8" i="10" s="1"/>
  <c r="E8" i="10"/>
  <c r="E14" i="10"/>
  <c r="I13" i="10"/>
  <c r="I3" i="10" s="1"/>
  <c r="E23" i="10"/>
  <c r="D31" i="10"/>
  <c r="G32" i="10"/>
  <c r="H49" i="10"/>
  <c r="I49" i="10" s="1"/>
  <c r="D50" i="10"/>
  <c r="E49" i="10"/>
  <c r="G52" i="10"/>
  <c r="E72" i="10"/>
  <c r="E86" i="10" s="1"/>
  <c r="B160" i="10" s="1"/>
  <c r="G111" i="10"/>
  <c r="I111" i="10" s="1"/>
  <c r="E111" i="10"/>
  <c r="M8" i="17"/>
  <c r="M45" i="17"/>
  <c r="S8" i="17"/>
  <c r="AS39" i="17"/>
  <c r="AR39" i="17"/>
  <c r="AS40" i="17"/>
  <c r="AR40" i="17"/>
  <c r="AS58" i="17"/>
  <c r="AR58" i="17"/>
  <c r="AQ74" i="17"/>
  <c r="O83" i="17"/>
  <c r="AQ82" i="17"/>
  <c r="J61" i="22"/>
  <c r="K61" i="22" s="1"/>
  <c r="J61" i="20"/>
  <c r="K61" i="20" s="1"/>
  <c r="E11" i="10"/>
  <c r="I12" i="10"/>
  <c r="C47" i="10"/>
  <c r="E47" i="10" s="1"/>
  <c r="E46" i="10"/>
  <c r="G105" i="10"/>
  <c r="I105" i="10" s="1"/>
  <c r="E105" i="10"/>
  <c r="L8" i="17"/>
  <c r="AQ12" i="17"/>
  <c r="AR38" i="17"/>
  <c r="AS38" i="17"/>
  <c r="AR57" i="17"/>
  <c r="AS57" i="17"/>
  <c r="AR70" i="17"/>
  <c r="L77" i="17"/>
  <c r="L83" i="17" s="1"/>
  <c r="AS88" i="17"/>
  <c r="AR88" i="17"/>
  <c r="R105" i="17"/>
  <c r="C36" i="19"/>
  <c r="E37" i="19"/>
  <c r="E36" i="19" s="1"/>
  <c r="C47" i="19"/>
  <c r="E55" i="19"/>
  <c r="J71" i="22"/>
  <c r="K71" i="22" s="1"/>
  <c r="J71" i="20"/>
  <c r="J72" i="22"/>
  <c r="K72" i="22" s="1"/>
  <c r="J72" i="20"/>
  <c r="J74" i="22"/>
  <c r="J74" i="20"/>
  <c r="K74" i="20" s="1"/>
  <c r="J80" i="22"/>
  <c r="K80" i="22" s="1"/>
  <c r="J80" i="20"/>
  <c r="K23" i="20"/>
  <c r="K36" i="20"/>
  <c r="G36" i="20"/>
  <c r="I15" i="10"/>
  <c r="H21" i="10"/>
  <c r="I21" i="10" s="1"/>
  <c r="I20" i="10"/>
  <c r="C29" i="10"/>
  <c r="E29" i="10" s="1"/>
  <c r="G28" i="10"/>
  <c r="G34" i="10"/>
  <c r="C65" i="10"/>
  <c r="E101" i="10"/>
  <c r="E100" i="10" s="1"/>
  <c r="I102" i="10"/>
  <c r="E103" i="10"/>
  <c r="I104" i="10"/>
  <c r="G116" i="10"/>
  <c r="I116" i="10" s="1"/>
  <c r="I115" i="10" s="1"/>
  <c r="E116" i="10"/>
  <c r="E115" i="10" s="1"/>
  <c r="D9" i="17"/>
  <c r="O9" i="17"/>
  <c r="AQ16" i="17"/>
  <c r="AS18" i="17"/>
  <c r="AR18" i="17"/>
  <c r="AQ19" i="17"/>
  <c r="P29" i="17"/>
  <c r="P45" i="17" s="1"/>
  <c r="R33" i="17"/>
  <c r="R29" i="17" s="1"/>
  <c r="N45" i="17"/>
  <c r="Q45" i="17"/>
  <c r="F47" i="17"/>
  <c r="O51" i="17"/>
  <c r="O47" i="17" s="1"/>
  <c r="O62" i="17" s="1"/>
  <c r="M47" i="17"/>
  <c r="M62" i="17" s="1"/>
  <c r="AS52" i="17"/>
  <c r="AR52" i="17"/>
  <c r="AS60" i="17"/>
  <c r="AR60" i="17"/>
  <c r="AQ86" i="17"/>
  <c r="AR86" i="17" s="1"/>
  <c r="AS89" i="17"/>
  <c r="AR89" i="17"/>
  <c r="T106" i="17"/>
  <c r="T108" i="17" s="1"/>
  <c r="T110" i="17" s="1"/>
  <c r="T111" i="17" s="1"/>
  <c r="J30" i="22"/>
  <c r="K30" i="22" s="1"/>
  <c r="J30" i="20"/>
  <c r="K30" i="20" s="1"/>
  <c r="D65" i="19"/>
  <c r="J70" i="22"/>
  <c r="K70" i="22" s="1"/>
  <c r="J70" i="20"/>
  <c r="D101" i="19"/>
  <c r="E105" i="19"/>
  <c r="J103" i="22"/>
  <c r="J105" i="22" s="1"/>
  <c r="J103" i="20"/>
  <c r="K103" i="20" s="1"/>
  <c r="J104" i="22"/>
  <c r="K104" i="22" s="1"/>
  <c r="J104" i="20"/>
  <c r="E37" i="20"/>
  <c r="E36" i="20" s="1"/>
  <c r="C36" i="20"/>
  <c r="G31" i="22"/>
  <c r="I29" i="22"/>
  <c r="K31" i="22"/>
  <c r="D22" i="10"/>
  <c r="H22" i="10" s="1"/>
  <c r="I22" i="10" s="1"/>
  <c r="AQ15" i="17"/>
  <c r="O21" i="17"/>
  <c r="AQ25" i="17"/>
  <c r="AQ30" i="17"/>
  <c r="AR30" i="17" s="1"/>
  <c r="D29" i="17"/>
  <c r="F33" i="17"/>
  <c r="AQ33" i="17" s="1"/>
  <c r="C45" i="17"/>
  <c r="H45" i="17"/>
  <c r="S45" i="17"/>
  <c r="S106" i="17" s="1"/>
  <c r="S108" i="17" s="1"/>
  <c r="S110" i="17" s="1"/>
  <c r="S111" i="17" s="1"/>
  <c r="E36" i="17"/>
  <c r="E45" i="17" s="1"/>
  <c r="E106" i="17" s="1"/>
  <c r="E108" i="17" s="1"/>
  <c r="E110" i="17" s="1"/>
  <c r="F43" i="17"/>
  <c r="AQ54" i="17"/>
  <c r="AS66" i="17"/>
  <c r="AR66" i="17"/>
  <c r="AQ67" i="17"/>
  <c r="AQ71" i="17"/>
  <c r="E47" i="19"/>
  <c r="E100" i="19"/>
  <c r="K62" i="20"/>
  <c r="D9" i="22"/>
  <c r="K22" i="22"/>
  <c r="G22" i="22"/>
  <c r="I21" i="22"/>
  <c r="K21" i="22" s="1"/>
  <c r="J86" i="22"/>
  <c r="E100" i="22"/>
  <c r="I23" i="17"/>
  <c r="G21" i="17"/>
  <c r="O45" i="17"/>
  <c r="I36" i="17"/>
  <c r="U36" i="17"/>
  <c r="U45" i="17" s="1"/>
  <c r="AQ42" i="17"/>
  <c r="AQ53" i="17"/>
  <c r="R47" i="17"/>
  <c r="R62" i="17" s="1"/>
  <c r="I65" i="17"/>
  <c r="I75" i="17" s="1"/>
  <c r="C83" i="17"/>
  <c r="C106" i="17" s="1"/>
  <c r="M83" i="17"/>
  <c r="M106" i="17" s="1"/>
  <c r="M108" i="17" s="1"/>
  <c r="M110" i="17" s="1"/>
  <c r="M111" i="17" s="1"/>
  <c r="AS93" i="17"/>
  <c r="AR93" i="17"/>
  <c r="N106" i="17"/>
  <c r="N108" i="17" s="1"/>
  <c r="N110" i="17" s="1"/>
  <c r="N111" i="17" s="1"/>
  <c r="K31" i="19"/>
  <c r="J31" i="20" s="1"/>
  <c r="K31" i="20" s="1"/>
  <c r="J41" i="20"/>
  <c r="K41" i="20" s="1"/>
  <c r="J41" i="22"/>
  <c r="J42" i="22"/>
  <c r="J42" i="20"/>
  <c r="K42" i="20" s="1"/>
  <c r="G47" i="22"/>
  <c r="I62" i="22"/>
  <c r="G53" i="22"/>
  <c r="K53" i="22"/>
  <c r="E55" i="22"/>
  <c r="C47" i="22"/>
  <c r="R75" i="17"/>
  <c r="D75" i="17"/>
  <c r="AQ79" i="17"/>
  <c r="F83" i="17"/>
  <c r="AQ83" i="17" s="1"/>
  <c r="AS83" i="17" s="1"/>
  <c r="L100" i="17"/>
  <c r="Q100" i="17"/>
  <c r="Q106" i="17" s="1"/>
  <c r="Q108" i="17" s="1"/>
  <c r="Q110" i="17" s="1"/>
  <c r="Q111" i="17" s="1"/>
  <c r="R90" i="17"/>
  <c r="R100" i="17" s="1"/>
  <c r="AQ95" i="17"/>
  <c r="AQ99" i="17"/>
  <c r="AQ104" i="17"/>
  <c r="AR109" i="17"/>
  <c r="K19" i="19"/>
  <c r="J19" i="20" s="1"/>
  <c r="K19" i="20" s="1"/>
  <c r="K29" i="19"/>
  <c r="J29" i="20" s="1"/>
  <c r="I28" i="19"/>
  <c r="K28" i="19" s="1"/>
  <c r="J28" i="20" s="1"/>
  <c r="K33" i="19"/>
  <c r="J33" i="20" s="1"/>
  <c r="K33" i="20" s="1"/>
  <c r="K38" i="19"/>
  <c r="J38" i="20" s="1"/>
  <c r="K38" i="20" s="1"/>
  <c r="K43" i="19"/>
  <c r="J43" i="20" s="1"/>
  <c r="K43" i="20" s="1"/>
  <c r="J49" i="22"/>
  <c r="K49" i="22" s="1"/>
  <c r="J49" i="20"/>
  <c r="K49" i="20" s="1"/>
  <c r="K53" i="19"/>
  <c r="J53" i="20" s="1"/>
  <c r="K53" i="20" s="1"/>
  <c r="K58" i="19"/>
  <c r="K65" i="19"/>
  <c r="J65" i="20" s="1"/>
  <c r="K65" i="20" s="1"/>
  <c r="K69" i="19"/>
  <c r="J69" i="20" s="1"/>
  <c r="J85" i="20"/>
  <c r="K85" i="20" s="1"/>
  <c r="J85" i="22"/>
  <c r="J100" i="22" s="1"/>
  <c r="J89" i="22"/>
  <c r="J89" i="20"/>
  <c r="K110" i="19"/>
  <c r="J73" i="20"/>
  <c r="K73" i="20" s="1"/>
  <c r="K78" i="20"/>
  <c r="G78" i="20"/>
  <c r="K95" i="20"/>
  <c r="G95" i="20"/>
  <c r="K107" i="20"/>
  <c r="E29" i="22"/>
  <c r="E37" i="22"/>
  <c r="E36" i="22" s="1"/>
  <c r="C36" i="22"/>
  <c r="K56" i="22"/>
  <c r="G56" i="22"/>
  <c r="AQ68" i="17"/>
  <c r="F65" i="17"/>
  <c r="AQ65" i="17" s="1"/>
  <c r="AS65" i="17" s="1"/>
  <c r="U91" i="17"/>
  <c r="AQ94" i="17"/>
  <c r="K106" i="17"/>
  <c r="K108" i="17" s="1"/>
  <c r="K110" i="17" s="1"/>
  <c r="K111" i="17" s="1"/>
  <c r="J13" i="22"/>
  <c r="J9" i="22" s="1"/>
  <c r="J8" i="22" s="1"/>
  <c r="J13" i="20"/>
  <c r="J14" i="22"/>
  <c r="K14" i="22" s="1"/>
  <c r="J14" i="20"/>
  <c r="K14" i="20" s="1"/>
  <c r="J15" i="22"/>
  <c r="K15" i="22" s="1"/>
  <c r="J15" i="20"/>
  <c r="J16" i="22"/>
  <c r="K16" i="22" s="1"/>
  <c r="J16" i="20"/>
  <c r="K16" i="20" s="1"/>
  <c r="K32" i="19"/>
  <c r="J32" i="20" s="1"/>
  <c r="K32" i="20" s="1"/>
  <c r="J48" i="22"/>
  <c r="J62" i="22" s="1"/>
  <c r="J47" i="22" s="1"/>
  <c r="K47" i="22" s="1"/>
  <c r="J48" i="20"/>
  <c r="J52" i="22"/>
  <c r="K52" i="22" s="1"/>
  <c r="J52" i="20"/>
  <c r="K52" i="20" s="1"/>
  <c r="K57" i="19"/>
  <c r="K68" i="19"/>
  <c r="J68" i="20" s="1"/>
  <c r="J75" i="20"/>
  <c r="K75" i="20" s="1"/>
  <c r="J75" i="22"/>
  <c r="K75" i="22" s="1"/>
  <c r="J97" i="22"/>
  <c r="K97" i="22" s="1"/>
  <c r="J97" i="20"/>
  <c r="K108" i="19"/>
  <c r="K9" i="20"/>
  <c r="K11" i="20"/>
  <c r="K13" i="20"/>
  <c r="K15" i="20"/>
  <c r="K17" i="20"/>
  <c r="K21" i="20"/>
  <c r="K22" i="20"/>
  <c r="K24" i="20"/>
  <c r="K48" i="20"/>
  <c r="K67" i="20"/>
  <c r="K69" i="20"/>
  <c r="K71" i="20"/>
  <c r="K77" i="20"/>
  <c r="E83" i="20"/>
  <c r="D77" i="20"/>
  <c r="K80" i="20"/>
  <c r="G94" i="20"/>
  <c r="K94" i="20"/>
  <c r="K104" i="20"/>
  <c r="I110" i="20"/>
  <c r="K108" i="20"/>
  <c r="P100" i="17"/>
  <c r="K39" i="20"/>
  <c r="E53" i="20"/>
  <c r="E47" i="20" s="1"/>
  <c r="C47" i="20"/>
  <c r="K72" i="20"/>
  <c r="K97" i="20"/>
  <c r="K100" i="20"/>
  <c r="G102" i="20"/>
  <c r="K102" i="20"/>
  <c r="G10" i="22"/>
  <c r="I9" i="22"/>
  <c r="K10" i="22"/>
  <c r="I100" i="22"/>
  <c r="K89" i="22"/>
  <c r="O102" i="17"/>
  <c r="O105" i="17" s="1"/>
  <c r="O106" i="17" s="1"/>
  <c r="O108" i="17" s="1"/>
  <c r="O110" i="17" s="1"/>
  <c r="O111" i="17" s="1"/>
  <c r="G51" i="20"/>
  <c r="K51" i="20"/>
  <c r="G53" i="20"/>
  <c r="G55" i="20"/>
  <c r="K55" i="20"/>
  <c r="G57" i="20"/>
  <c r="K66" i="20"/>
  <c r="K68" i="20"/>
  <c r="K70" i="20"/>
  <c r="E100" i="20"/>
  <c r="G88" i="20"/>
  <c r="K88" i="20"/>
  <c r="K89" i="20"/>
  <c r="G23" i="22"/>
  <c r="K23" i="22"/>
  <c r="J36" i="22"/>
  <c r="J28" i="22" s="1"/>
  <c r="E47" i="22"/>
  <c r="K65" i="22"/>
  <c r="K96" i="22"/>
  <c r="G96" i="22"/>
  <c r="K96" i="20"/>
  <c r="E21" i="22"/>
  <c r="D21" i="22" s="1"/>
  <c r="K25" i="22"/>
  <c r="G25" i="22"/>
  <c r="K42" i="22"/>
  <c r="K48" i="22"/>
  <c r="K74" i="22"/>
  <c r="I83" i="22"/>
  <c r="E101" i="22"/>
  <c r="K103" i="22"/>
  <c r="C8" i="22"/>
  <c r="K17" i="22"/>
  <c r="K37" i="22"/>
  <c r="I36" i="22"/>
  <c r="K41" i="22"/>
  <c r="E65" i="22"/>
  <c r="K79" i="22"/>
  <c r="K86" i="22"/>
  <c r="K109" i="22"/>
  <c r="D36" i="20" l="1"/>
  <c r="AQ10" i="17"/>
  <c r="Q45" i="23"/>
  <c r="Q70" i="23" s="1"/>
  <c r="S27" i="23"/>
  <c r="C79" i="24"/>
  <c r="G79" i="24" s="1"/>
  <c r="I79" i="24" s="1"/>
  <c r="I73" i="24" s="1"/>
  <c r="S38" i="24"/>
  <c r="E100" i="23"/>
  <c r="J110" i="20"/>
  <c r="J112" i="20" s="1"/>
  <c r="J83" i="22"/>
  <c r="K13" i="22"/>
  <c r="K85" i="22"/>
  <c r="U106" i="17"/>
  <c r="U108" i="17" s="1"/>
  <c r="U110" i="17" s="1"/>
  <c r="U111" i="17" s="1"/>
  <c r="R45" i="17"/>
  <c r="I121" i="10"/>
  <c r="E121" i="23"/>
  <c r="B162" i="23" s="1"/>
  <c r="W73" i="23"/>
  <c r="S52" i="23"/>
  <c r="S45" i="23" s="1"/>
  <c r="S70" i="23" s="1"/>
  <c r="J45" i="17"/>
  <c r="J106" i="17" s="1"/>
  <c r="J108" i="17" s="1"/>
  <c r="J110" i="17" s="1"/>
  <c r="J111" i="17" s="1"/>
  <c r="W86" i="24"/>
  <c r="S45" i="24"/>
  <c r="S70" i="24" s="1"/>
  <c r="U13" i="24"/>
  <c r="L45" i="17"/>
  <c r="L106" i="17" s="1"/>
  <c r="L108" i="17" s="1"/>
  <c r="L110" i="17" s="1"/>
  <c r="L111" i="17" s="1"/>
  <c r="K13" i="23"/>
  <c r="AS87" i="17"/>
  <c r="AR87" i="17"/>
  <c r="R26" i="23"/>
  <c r="R42" i="23" s="1"/>
  <c r="S121" i="24"/>
  <c r="H105" i="24"/>
  <c r="I105" i="24" s="1"/>
  <c r="E105" i="24"/>
  <c r="E9" i="24"/>
  <c r="H9" i="24"/>
  <c r="D32" i="24"/>
  <c r="H31" i="24"/>
  <c r="I31" i="24" s="1"/>
  <c r="E31" i="24"/>
  <c r="U50" i="24"/>
  <c r="U109" i="24"/>
  <c r="U121" i="24" s="1"/>
  <c r="W110" i="24"/>
  <c r="W109" i="24" s="1"/>
  <c r="V104" i="24"/>
  <c r="I104" i="24"/>
  <c r="I100" i="24" s="1"/>
  <c r="E109" i="24"/>
  <c r="E121" i="24" s="1"/>
  <c r="B162" i="24" s="1"/>
  <c r="I86" i="24"/>
  <c r="V132" i="24"/>
  <c r="G33" i="24"/>
  <c r="U32" i="24"/>
  <c r="W32" i="24" s="1"/>
  <c r="H47" i="24"/>
  <c r="V46" i="24"/>
  <c r="I46" i="24"/>
  <c r="P70" i="24"/>
  <c r="Q26" i="24"/>
  <c r="Q42" i="24" s="1"/>
  <c r="D50" i="24"/>
  <c r="H49" i="24"/>
  <c r="V49" i="24" s="1"/>
  <c r="W49" i="24" s="1"/>
  <c r="V41" i="24"/>
  <c r="W41" i="24" s="1"/>
  <c r="I41" i="24"/>
  <c r="K5" i="24"/>
  <c r="Q132" i="24"/>
  <c r="I109" i="24"/>
  <c r="J97" i="24"/>
  <c r="W132" i="24"/>
  <c r="J72" i="24"/>
  <c r="Q70" i="24"/>
  <c r="S94" i="24"/>
  <c r="S92" i="24" s="1"/>
  <c r="C65" i="24"/>
  <c r="K21" i="24"/>
  <c r="K22" i="24" s="1"/>
  <c r="K23" i="24" s="1"/>
  <c r="D20" i="24"/>
  <c r="H20" i="24"/>
  <c r="S26" i="24"/>
  <c r="S42" i="24" s="1"/>
  <c r="U59" i="24"/>
  <c r="U38" i="24"/>
  <c r="W39" i="24"/>
  <c r="W30" i="24"/>
  <c r="H11" i="24"/>
  <c r="E11" i="24"/>
  <c r="I49" i="24"/>
  <c r="I10" i="24"/>
  <c r="V10" i="24"/>
  <c r="W10" i="24" s="1"/>
  <c r="V48" i="24"/>
  <c r="W48" i="24" s="1"/>
  <c r="I48" i="24"/>
  <c r="V12" i="24"/>
  <c r="W12" i="24" s="1"/>
  <c r="I12" i="24"/>
  <c r="K95" i="24"/>
  <c r="W6" i="24"/>
  <c r="U34" i="24"/>
  <c r="W34" i="24" s="1"/>
  <c r="I6" i="24"/>
  <c r="V19" i="24"/>
  <c r="W19" i="24" s="1"/>
  <c r="I19" i="24"/>
  <c r="U38" i="23"/>
  <c r="W39" i="23"/>
  <c r="P26" i="23"/>
  <c r="P42" i="23" s="1"/>
  <c r="V48" i="23"/>
  <c r="W48" i="23" s="1"/>
  <c r="I48" i="23"/>
  <c r="I105" i="23"/>
  <c r="I100" i="23" s="1"/>
  <c r="I121" i="23" s="1"/>
  <c r="E105" i="23"/>
  <c r="S90" i="23"/>
  <c r="S88" i="23" s="1"/>
  <c r="U61" i="23"/>
  <c r="W132" i="23"/>
  <c r="I68" i="23"/>
  <c r="I67" i="23" s="1"/>
  <c r="S38" i="23"/>
  <c r="S26" i="23" s="1"/>
  <c r="S42" i="23" s="1"/>
  <c r="V18" i="23"/>
  <c r="W18" i="23" s="1"/>
  <c r="I18" i="23"/>
  <c r="V8" i="23"/>
  <c r="W8" i="23" s="1"/>
  <c r="I8" i="23"/>
  <c r="S59" i="23"/>
  <c r="S57" i="23" s="1"/>
  <c r="E8" i="23"/>
  <c r="I7" i="23"/>
  <c r="S100" i="23"/>
  <c r="S121" i="23" s="1"/>
  <c r="K95" i="23"/>
  <c r="V41" i="23"/>
  <c r="W41" i="23" s="1"/>
  <c r="I41" i="23"/>
  <c r="D32" i="23"/>
  <c r="H31" i="23"/>
  <c r="I31" i="23" s="1"/>
  <c r="E31" i="23"/>
  <c r="D22" i="23"/>
  <c r="D21" i="23"/>
  <c r="E21" i="23" s="1"/>
  <c r="E20" i="23"/>
  <c r="E11" i="23"/>
  <c r="H11" i="23"/>
  <c r="U67" i="23"/>
  <c r="W68" i="23"/>
  <c r="W67" i="23" s="1"/>
  <c r="W46" i="23"/>
  <c r="K5" i="23"/>
  <c r="K42" i="23" s="1"/>
  <c r="D6" i="23"/>
  <c r="V12" i="23"/>
  <c r="W12" i="23" s="1"/>
  <c r="I12" i="23"/>
  <c r="U109" i="23"/>
  <c r="U121" i="23" s="1"/>
  <c r="W110" i="23"/>
  <c r="W109" i="23" s="1"/>
  <c r="W121" i="23" s="1"/>
  <c r="V132" i="23"/>
  <c r="E65" i="23"/>
  <c r="E64" i="23" s="1"/>
  <c r="G65" i="23"/>
  <c r="U86" i="23"/>
  <c r="W72" i="23"/>
  <c r="W86" i="23" s="1"/>
  <c r="G33" i="23"/>
  <c r="U32" i="23"/>
  <c r="W32" i="23" s="1"/>
  <c r="W30" i="23"/>
  <c r="U50" i="23"/>
  <c r="I10" i="23"/>
  <c r="V10" i="23"/>
  <c r="W10" i="23" s="1"/>
  <c r="I72" i="23"/>
  <c r="S92" i="23"/>
  <c r="Q26" i="23"/>
  <c r="Q42" i="23" s="1"/>
  <c r="I19" i="23"/>
  <c r="V19" i="23"/>
  <c r="W19" i="23" s="1"/>
  <c r="E9" i="23"/>
  <c r="H9" i="23"/>
  <c r="U34" i="23"/>
  <c r="W34" i="23" s="1"/>
  <c r="H21" i="23"/>
  <c r="V20" i="23"/>
  <c r="W20" i="23" s="1"/>
  <c r="I20" i="23"/>
  <c r="D50" i="23"/>
  <c r="H49" i="23"/>
  <c r="V49" i="23" s="1"/>
  <c r="W49" i="23" s="1"/>
  <c r="C108" i="17"/>
  <c r="E113" i="17"/>
  <c r="E112" i="17"/>
  <c r="E111" i="17"/>
  <c r="P106" i="17"/>
  <c r="P108" i="17" s="1"/>
  <c r="P110" i="17" s="1"/>
  <c r="P111" i="17" s="1"/>
  <c r="J58" i="22"/>
  <c r="K58" i="22" s="1"/>
  <c r="J58" i="20"/>
  <c r="K58" i="20" s="1"/>
  <c r="AR104" i="17"/>
  <c r="AS104" i="17"/>
  <c r="F75" i="17"/>
  <c r="AQ75" i="17" s="1"/>
  <c r="AQ102" i="17"/>
  <c r="I21" i="17"/>
  <c r="AQ23" i="17"/>
  <c r="AS33" i="17"/>
  <c r="AR33" i="17"/>
  <c r="AS25" i="17"/>
  <c r="AR25" i="17"/>
  <c r="K29" i="22"/>
  <c r="I28" i="22"/>
  <c r="K28" i="22" s="1"/>
  <c r="G29" i="22"/>
  <c r="F62" i="17"/>
  <c r="AQ62" i="17" s="1"/>
  <c r="AQ47" i="17"/>
  <c r="AR16" i="17"/>
  <c r="AS16" i="17"/>
  <c r="AS12" i="17"/>
  <c r="AR12" i="17"/>
  <c r="AS82" i="17"/>
  <c r="AR82" i="17"/>
  <c r="G33" i="10"/>
  <c r="E22" i="10"/>
  <c r="AQ105" i="17"/>
  <c r="AS78" i="17"/>
  <c r="AR78" i="17"/>
  <c r="F46" i="14"/>
  <c r="D22" i="17" s="1"/>
  <c r="E27" i="12"/>
  <c r="G239" i="1"/>
  <c r="E27" i="13"/>
  <c r="AE88" i="6"/>
  <c r="AE102" i="6"/>
  <c r="AE15" i="6"/>
  <c r="H92" i="1"/>
  <c r="H109" i="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K105" i="22"/>
  <c r="G9" i="17"/>
  <c r="G8" i="17" s="1"/>
  <c r="E105" i="22"/>
  <c r="D101" i="22"/>
  <c r="K9" i="22"/>
  <c r="I8" i="22"/>
  <c r="AS68" i="17"/>
  <c r="AR68" i="17"/>
  <c r="D36" i="22"/>
  <c r="AR99" i="17"/>
  <c r="AS99" i="17"/>
  <c r="AR65" i="17"/>
  <c r="AR53" i="17"/>
  <c r="AS53" i="17"/>
  <c r="AQ90" i="17"/>
  <c r="AR19" i="17"/>
  <c r="AS19" i="17"/>
  <c r="O8" i="17"/>
  <c r="E65" i="10"/>
  <c r="E64" i="10" s="1"/>
  <c r="G65" i="10"/>
  <c r="I65" i="10" s="1"/>
  <c r="I64" i="10" s="1"/>
  <c r="G29" i="10"/>
  <c r="I29" i="10" s="1"/>
  <c r="I28" i="10"/>
  <c r="H50" i="10"/>
  <c r="H51" i="10" s="1"/>
  <c r="I51" i="10" s="1"/>
  <c r="D51" i="10"/>
  <c r="H31" i="10"/>
  <c r="I31" i="10" s="1"/>
  <c r="D32" i="10"/>
  <c r="E31" i="10"/>
  <c r="E109" i="10"/>
  <c r="E121" i="10" s="1"/>
  <c r="B162" i="10" s="1"/>
  <c r="AE102" i="8"/>
  <c r="AR103" i="17"/>
  <c r="AS103" i="17"/>
  <c r="AS69" i="17"/>
  <c r="AR69" i="17"/>
  <c r="AQ51" i="17"/>
  <c r="D100" i="17"/>
  <c r="F91" i="17"/>
  <c r="AE32" i="8"/>
  <c r="E29" i="12"/>
  <c r="E29" i="13"/>
  <c r="F29" i="13" s="1"/>
  <c r="AE88" i="8"/>
  <c r="AE64" i="6"/>
  <c r="G36" i="22"/>
  <c r="K36" i="22"/>
  <c r="D65" i="22"/>
  <c r="E75" i="22"/>
  <c r="K83" i="22"/>
  <c r="K100" i="22"/>
  <c r="D47" i="20"/>
  <c r="E62" i="20"/>
  <c r="I112" i="20"/>
  <c r="K112" i="20" s="1"/>
  <c r="H30" i="18" s="1"/>
  <c r="H32" i="18" s="1"/>
  <c r="H34" i="18" s="1"/>
  <c r="H50" i="18" s="1"/>
  <c r="J50" i="18" s="1"/>
  <c r="K110" i="20"/>
  <c r="J57" i="22"/>
  <c r="K57" i="22" s="1"/>
  <c r="J57" i="20"/>
  <c r="K57" i="20" s="1"/>
  <c r="AR94" i="17"/>
  <c r="AS94" i="17"/>
  <c r="E28" i="22"/>
  <c r="D29" i="22"/>
  <c r="AS95" i="17"/>
  <c r="AR95" i="17"/>
  <c r="K62" i="22"/>
  <c r="AR83" i="17"/>
  <c r="AR42" i="17"/>
  <c r="AS42" i="17"/>
  <c r="AS71" i="17"/>
  <c r="AR71" i="17"/>
  <c r="AS54" i="17"/>
  <c r="AR54" i="17"/>
  <c r="E28" i="19"/>
  <c r="E45" i="19" s="1"/>
  <c r="D36" i="19"/>
  <c r="R106" i="17"/>
  <c r="R108" i="17" s="1"/>
  <c r="R110" i="17" s="1"/>
  <c r="R111" i="17" s="1"/>
  <c r="AQ77" i="17"/>
  <c r="E28" i="20"/>
  <c r="E45" i="20" s="1"/>
  <c r="E106" i="20" s="1"/>
  <c r="H106" i="17"/>
  <c r="H108" i="17" s="1"/>
  <c r="H110" i="17" s="1"/>
  <c r="H111" i="17" s="1"/>
  <c r="F29" i="17"/>
  <c r="AQ29" i="17" s="1"/>
  <c r="B7" i="5"/>
  <c r="C7" i="5" s="1"/>
  <c r="H25" i="3"/>
  <c r="H41" i="10"/>
  <c r="I41" i="10" s="1"/>
  <c r="E41" i="10"/>
  <c r="F21" i="12"/>
  <c r="D31" i="12"/>
  <c r="I50" i="10"/>
  <c r="D47" i="22"/>
  <c r="E62" i="22"/>
  <c r="J45" i="22"/>
  <c r="J106" i="22" s="1"/>
  <c r="J108" i="22" s="1"/>
  <c r="J110" i="22" s="1"/>
  <c r="J112" i="22" s="1"/>
  <c r="AS79" i="17"/>
  <c r="AR79" i="17"/>
  <c r="E8" i="22"/>
  <c r="D47" i="19"/>
  <c r="E62" i="19"/>
  <c r="AR67" i="17"/>
  <c r="AS67" i="17"/>
  <c r="AQ43" i="17"/>
  <c r="F36" i="17"/>
  <c r="AR15" i="17"/>
  <c r="AS15" i="17"/>
  <c r="AS74" i="17"/>
  <c r="AR74" i="17"/>
  <c r="G29" i="20"/>
  <c r="K29" i="20"/>
  <c r="I28" i="20"/>
  <c r="AS10" i="17"/>
  <c r="AR10" i="17"/>
  <c r="AS64" i="17"/>
  <c r="AR64" i="17"/>
  <c r="AE15" i="8"/>
  <c r="C6" i="5"/>
  <c r="C8" i="5" s="1"/>
  <c r="B8" i="5"/>
  <c r="D42" i="12"/>
  <c r="G92" i="1"/>
  <c r="D43" i="12" s="1"/>
  <c r="F21" i="13"/>
  <c r="D31" i="13"/>
  <c r="F31" i="13" s="1"/>
  <c r="I45" i="19"/>
  <c r="K45" i="19" s="1"/>
  <c r="J45" i="20" s="1"/>
  <c r="AS37" i="17"/>
  <c r="AR37" i="17"/>
  <c r="I9" i="17"/>
  <c r="I8" i="17" s="1"/>
  <c r="AQ11" i="17"/>
  <c r="E50" i="10"/>
  <c r="E45" i="22" l="1"/>
  <c r="E106" i="22" s="1"/>
  <c r="I121" i="24"/>
  <c r="I45" i="17"/>
  <c r="I106" i="17" s="1"/>
  <c r="I108" i="17" s="1"/>
  <c r="I110" i="17" s="1"/>
  <c r="I111" i="17" s="1"/>
  <c r="E5" i="24"/>
  <c r="K97" i="24"/>
  <c r="J86" i="24"/>
  <c r="J127" i="24" s="1"/>
  <c r="V20" i="24"/>
  <c r="W20" i="24" s="1"/>
  <c r="H21" i="24"/>
  <c r="I20" i="24"/>
  <c r="V11" i="24"/>
  <c r="W11" i="24" s="1"/>
  <c r="I11" i="24"/>
  <c r="D21" i="24"/>
  <c r="E21" i="24" s="1"/>
  <c r="D22" i="24"/>
  <c r="E20" i="24"/>
  <c r="L95" i="24"/>
  <c r="W46" i="24"/>
  <c r="U33" i="24"/>
  <c r="W104" i="24"/>
  <c r="W100" i="24" s="1"/>
  <c r="W121" i="24" s="1"/>
  <c r="V100" i="24"/>
  <c r="V121" i="24" s="1"/>
  <c r="D51" i="24"/>
  <c r="H50" i="24"/>
  <c r="E50" i="24"/>
  <c r="V9" i="24"/>
  <c r="I9" i="24"/>
  <c r="G65" i="24"/>
  <c r="E65" i="24"/>
  <c r="E64" i="24" s="1"/>
  <c r="V47" i="24"/>
  <c r="W47" i="24" s="1"/>
  <c r="I47" i="24"/>
  <c r="K72" i="24"/>
  <c r="U45" i="24"/>
  <c r="H32" i="24"/>
  <c r="I32" i="24" s="1"/>
  <c r="D33" i="24"/>
  <c r="E32" i="24"/>
  <c r="K13" i="24"/>
  <c r="K42" i="24" s="1"/>
  <c r="K97" i="23"/>
  <c r="D51" i="23"/>
  <c r="H50" i="23"/>
  <c r="E50" i="23"/>
  <c r="H6" i="23"/>
  <c r="E6" i="23"/>
  <c r="E5" i="23" s="1"/>
  <c r="E22" i="23"/>
  <c r="E13" i="23" s="1"/>
  <c r="H22" i="23"/>
  <c r="U59" i="23"/>
  <c r="L95" i="23"/>
  <c r="E14" i="23"/>
  <c r="U65" i="23"/>
  <c r="I65" i="23"/>
  <c r="I64" i="23" s="1"/>
  <c r="V21" i="23"/>
  <c r="W21" i="23" s="1"/>
  <c r="I21" i="23"/>
  <c r="I86" i="23"/>
  <c r="I49" i="23"/>
  <c r="U33" i="23"/>
  <c r="H32" i="23"/>
  <c r="I32" i="23" s="1"/>
  <c r="E32" i="23"/>
  <c r="D33" i="23"/>
  <c r="V9" i="23"/>
  <c r="W9" i="23" s="1"/>
  <c r="I9" i="23"/>
  <c r="U45" i="23"/>
  <c r="V11" i="23"/>
  <c r="W11" i="23" s="1"/>
  <c r="I11" i="23"/>
  <c r="J72" i="23"/>
  <c r="E107" i="20"/>
  <c r="E108" i="20" s="1"/>
  <c r="AS11" i="17"/>
  <c r="AR11" i="17"/>
  <c r="K28" i="20"/>
  <c r="I45" i="20"/>
  <c r="K45" i="20" s="1"/>
  <c r="AQ36" i="17"/>
  <c r="AS77" i="17"/>
  <c r="AR77" i="17"/>
  <c r="D52" i="10"/>
  <c r="E51" i="10"/>
  <c r="AS43" i="17"/>
  <c r="AR43" i="17"/>
  <c r="AS29" i="17"/>
  <c r="AR29" i="17"/>
  <c r="AS51" i="17"/>
  <c r="AR51" i="17"/>
  <c r="D21" i="17"/>
  <c r="F22" i="17"/>
  <c r="G45" i="17"/>
  <c r="G106" i="17" s="1"/>
  <c r="G108" i="17" s="1"/>
  <c r="G110" i="17" s="1"/>
  <c r="G111" i="17" s="1"/>
  <c r="E107" i="22"/>
  <c r="E108" i="22" s="1"/>
  <c r="F31" i="12"/>
  <c r="D40" i="12"/>
  <c r="D33" i="10"/>
  <c r="H32" i="10"/>
  <c r="I32" i="10" s="1"/>
  <c r="E32" i="10"/>
  <c r="AS90" i="17"/>
  <c r="AR90" i="17"/>
  <c r="H162" i="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46" i="1"/>
  <c r="AQ9" i="17"/>
  <c r="AS47" i="17"/>
  <c r="AR47" i="17"/>
  <c r="AR102" i="17"/>
  <c r="AS102" i="17"/>
  <c r="C110" i="17"/>
  <c r="E106" i="19"/>
  <c r="F29" i="12"/>
  <c r="E40" i="12"/>
  <c r="E42" i="12" s="1"/>
  <c r="E43" i="12" s="1"/>
  <c r="AQ91" i="17"/>
  <c r="F100" i="17"/>
  <c r="I45" i="22"/>
  <c r="K8" i="22"/>
  <c r="AS105" i="17"/>
  <c r="AR105" i="17"/>
  <c r="AS62" i="17"/>
  <c r="AR62" i="17"/>
  <c r="AS23" i="17"/>
  <c r="AR23" i="17"/>
  <c r="AS75" i="17"/>
  <c r="AR75" i="17"/>
  <c r="I5" i="24" l="1"/>
  <c r="K86" i="24"/>
  <c r="I65" i="24"/>
  <c r="I64" i="24" s="1"/>
  <c r="U65" i="24"/>
  <c r="W33" i="24"/>
  <c r="W27" i="24" s="1"/>
  <c r="U27" i="24"/>
  <c r="U26" i="24" s="1"/>
  <c r="U42" i="24" s="1"/>
  <c r="H33" i="24"/>
  <c r="I33" i="24" s="1"/>
  <c r="D34" i="24"/>
  <c r="E33" i="24"/>
  <c r="L97" i="24"/>
  <c r="K127" i="24"/>
  <c r="H22" i="24"/>
  <c r="E22" i="24"/>
  <c r="E13" i="24" s="1"/>
  <c r="B154" i="24" s="1"/>
  <c r="L72" i="24"/>
  <c r="M72" i="24" s="1"/>
  <c r="M95" i="24"/>
  <c r="D52" i="24"/>
  <c r="E51" i="24"/>
  <c r="W9" i="24"/>
  <c r="W5" i="24" s="1"/>
  <c r="V5" i="24"/>
  <c r="V50" i="24"/>
  <c r="W50" i="24" s="1"/>
  <c r="H51" i="24"/>
  <c r="I50" i="24"/>
  <c r="V21" i="24"/>
  <c r="W21" i="24" s="1"/>
  <c r="I21" i="24"/>
  <c r="J128" i="24"/>
  <c r="J129" i="24" s="1"/>
  <c r="J86" i="23"/>
  <c r="J127" i="23" s="1"/>
  <c r="L97" i="23"/>
  <c r="H33" i="23"/>
  <c r="I33" i="23" s="1"/>
  <c r="D34" i="23"/>
  <c r="E33" i="23"/>
  <c r="B154" i="23"/>
  <c r="I22" i="23"/>
  <c r="I13" i="23" s="1"/>
  <c r="V22" i="23"/>
  <c r="W22" i="23" s="1"/>
  <c r="W13" i="23" s="1"/>
  <c r="D52" i="23"/>
  <c r="E51" i="23"/>
  <c r="K72" i="23"/>
  <c r="W33" i="23"/>
  <c r="W27" i="23" s="1"/>
  <c r="U27" i="23"/>
  <c r="U26" i="23" s="1"/>
  <c r="U42" i="23" s="1"/>
  <c r="U64" i="23"/>
  <c r="U57" i="23" s="1"/>
  <c r="U70" i="23" s="1"/>
  <c r="W65" i="23"/>
  <c r="W64" i="23" s="1"/>
  <c r="I6" i="23"/>
  <c r="I5" i="23" s="1"/>
  <c r="V6" i="23"/>
  <c r="V50" i="23"/>
  <c r="H51" i="23"/>
  <c r="I50" i="23"/>
  <c r="M95" i="23"/>
  <c r="N95" i="23" s="1"/>
  <c r="E109" i="20"/>
  <c r="E110" i="20" s="1"/>
  <c r="E112" i="20" s="1"/>
  <c r="AS9" i="17"/>
  <c r="AR9" i="17"/>
  <c r="K45" i="22"/>
  <c r="I106" i="22"/>
  <c r="AQ100" i="17"/>
  <c r="E107" i="19"/>
  <c r="E108" i="19" s="1"/>
  <c r="H33" i="10"/>
  <c r="I33" i="10" s="1"/>
  <c r="D34" i="10"/>
  <c r="E33" i="10"/>
  <c r="H52" i="10"/>
  <c r="I52" i="10" s="1"/>
  <c r="D53" i="10"/>
  <c r="E52" i="10"/>
  <c r="AS36" i="17"/>
  <c r="AR36" i="17"/>
  <c r="C111" i="17"/>
  <c r="AS91" i="17"/>
  <c r="AR91" i="17"/>
  <c r="E109" i="22"/>
  <c r="E110" i="22"/>
  <c r="E112" i="22" s="1"/>
  <c r="AQ22" i="17"/>
  <c r="F21" i="17"/>
  <c r="H208" i="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198" i="1"/>
  <c r="D45" i="17"/>
  <c r="D106" i="17" s="1"/>
  <c r="D108" i="17" s="1"/>
  <c r="D110" i="17" s="1"/>
  <c r="D111" i="17" s="1"/>
  <c r="D8" i="17"/>
  <c r="V13" i="23" l="1"/>
  <c r="J130" i="24"/>
  <c r="J131" i="24" s="1"/>
  <c r="J133" i="24" s="1"/>
  <c r="M86" i="24"/>
  <c r="D35" i="24"/>
  <c r="H34" i="24"/>
  <c r="I34" i="24" s="1"/>
  <c r="E34" i="24"/>
  <c r="H52" i="24"/>
  <c r="D53" i="24"/>
  <c r="E52" i="24"/>
  <c r="I22" i="24"/>
  <c r="I13" i="24" s="1"/>
  <c r="V22" i="24"/>
  <c r="K128" i="24"/>
  <c r="K129" i="24" s="1"/>
  <c r="V51" i="24"/>
  <c r="I51" i="24"/>
  <c r="M97" i="24"/>
  <c r="N95" i="24"/>
  <c r="O95" i="24" s="1"/>
  <c r="E14" i="24"/>
  <c r="U64" i="24"/>
  <c r="U57" i="24" s="1"/>
  <c r="U70" i="24" s="1"/>
  <c r="W65" i="24"/>
  <c r="W64" i="24" s="1"/>
  <c r="N72" i="24"/>
  <c r="O72" i="24" s="1"/>
  <c r="L86" i="24"/>
  <c r="L127" i="24" s="1"/>
  <c r="W50" i="23"/>
  <c r="J129" i="23"/>
  <c r="J128" i="23"/>
  <c r="O95" i="23"/>
  <c r="M97" i="23"/>
  <c r="V5" i="23"/>
  <c r="W6" i="23"/>
  <c r="W5" i="23" s="1"/>
  <c r="H52" i="23"/>
  <c r="D53" i="23"/>
  <c r="E52" i="23"/>
  <c r="K86" i="23"/>
  <c r="K127" i="23" s="1"/>
  <c r="D35" i="23"/>
  <c r="H34" i="23"/>
  <c r="I34" i="23" s="1"/>
  <c r="E34" i="23"/>
  <c r="P95" i="23"/>
  <c r="N97" i="23"/>
  <c r="V51" i="23"/>
  <c r="W51" i="23" s="1"/>
  <c r="I51" i="23"/>
  <c r="L72" i="23"/>
  <c r="AS22" i="17"/>
  <c r="AR22" i="17"/>
  <c r="D35" i="10"/>
  <c r="H34" i="10"/>
  <c r="I34" i="10" s="1"/>
  <c r="E34" i="10"/>
  <c r="AS100" i="17"/>
  <c r="AR100" i="17"/>
  <c r="H239" i="1"/>
  <c r="H261" i="1"/>
  <c r="H262" i="1" s="1"/>
  <c r="H263" i="1" s="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K106" i="22"/>
  <c r="I108" i="22"/>
  <c r="AQ21" i="17"/>
  <c r="F8" i="17"/>
  <c r="AQ8" i="17" s="1"/>
  <c r="F45" i="17"/>
  <c r="H53" i="10"/>
  <c r="I53" i="10" s="1"/>
  <c r="I45" i="10" s="1"/>
  <c r="D60" i="10"/>
  <c r="E53" i="10"/>
  <c r="E45" i="10" s="1"/>
  <c r="E109" i="19"/>
  <c r="E110" i="19" s="1"/>
  <c r="E112" i="19" s="1"/>
  <c r="O86" i="24" l="1"/>
  <c r="O97" i="24"/>
  <c r="M127" i="24"/>
  <c r="L129" i="24"/>
  <c r="L128" i="24"/>
  <c r="K130" i="24"/>
  <c r="K131" i="24" s="1"/>
  <c r="K133" i="24" s="1"/>
  <c r="D60" i="24"/>
  <c r="H53" i="24"/>
  <c r="E53" i="24"/>
  <c r="E45" i="24" s="1"/>
  <c r="N86" i="24"/>
  <c r="P72" i="24"/>
  <c r="P95" i="24"/>
  <c r="N97" i="24"/>
  <c r="W51" i="24"/>
  <c r="W22" i="24"/>
  <c r="W13" i="24" s="1"/>
  <c r="V13" i="24"/>
  <c r="V52" i="24"/>
  <c r="W52" i="24" s="1"/>
  <c r="I52" i="24"/>
  <c r="D40" i="24"/>
  <c r="H35" i="24"/>
  <c r="I35" i="24" s="1"/>
  <c r="I27" i="24" s="1"/>
  <c r="E35" i="24"/>
  <c r="E27" i="24" s="1"/>
  <c r="H53" i="23"/>
  <c r="D60" i="23"/>
  <c r="E53" i="23"/>
  <c r="E45" i="23" s="1"/>
  <c r="J130" i="23"/>
  <c r="J131" i="23" s="1"/>
  <c r="J133" i="23" s="1"/>
  <c r="D40" i="23"/>
  <c r="H35" i="23"/>
  <c r="I35" i="23" s="1"/>
  <c r="I27" i="23" s="1"/>
  <c r="E35" i="23"/>
  <c r="E27" i="23" s="1"/>
  <c r="V52" i="23"/>
  <c r="W52" i="23" s="1"/>
  <c r="I52" i="23"/>
  <c r="O97" i="23"/>
  <c r="Q95" i="23"/>
  <c r="R95" i="23" s="1"/>
  <c r="L86" i="23"/>
  <c r="L127" i="23" s="1"/>
  <c r="P97" i="23"/>
  <c r="M72" i="23"/>
  <c r="K128" i="23"/>
  <c r="K129" i="23" s="1"/>
  <c r="AQ45" i="17"/>
  <c r="F106" i="17"/>
  <c r="AS8" i="17"/>
  <c r="AR8" i="17"/>
  <c r="D61" i="10"/>
  <c r="H60" i="10"/>
  <c r="I60" i="10" s="1"/>
  <c r="E60" i="10"/>
  <c r="AS21" i="17"/>
  <c r="AR21" i="17"/>
  <c r="H35" i="10"/>
  <c r="I35" i="10" s="1"/>
  <c r="I26" i="10" s="1"/>
  <c r="D40" i="10"/>
  <c r="E35" i="10"/>
  <c r="E27" i="10" s="1"/>
  <c r="K108" i="22"/>
  <c r="I110" i="22"/>
  <c r="H40" i="24" l="1"/>
  <c r="E40" i="24"/>
  <c r="E38" i="24" s="1"/>
  <c r="P97" i="24"/>
  <c r="V53" i="24"/>
  <c r="I53" i="24"/>
  <c r="Q95" i="24"/>
  <c r="I45" i="24"/>
  <c r="P86" i="24"/>
  <c r="P127" i="24" s="1"/>
  <c r="D61" i="24"/>
  <c r="H60" i="24"/>
  <c r="E60" i="24"/>
  <c r="L131" i="24"/>
  <c r="L133" i="24" s="1"/>
  <c r="L130" i="24"/>
  <c r="O127" i="24"/>
  <c r="B155" i="24"/>
  <c r="E26" i="24"/>
  <c r="E42" i="24" s="1"/>
  <c r="N127" i="24"/>
  <c r="M128" i="24"/>
  <c r="M129" i="24" s="1"/>
  <c r="Q72" i="24"/>
  <c r="R72" i="24" s="1"/>
  <c r="K130" i="23"/>
  <c r="K131" i="23"/>
  <c r="K133" i="23" s="1"/>
  <c r="M86" i="23"/>
  <c r="M127" i="23" s="1"/>
  <c r="O72" i="23"/>
  <c r="N72" i="23"/>
  <c r="H40" i="23"/>
  <c r="E40" i="23"/>
  <c r="E38" i="23" s="1"/>
  <c r="B155" i="23" s="1"/>
  <c r="H60" i="23"/>
  <c r="D61" i="23"/>
  <c r="E60" i="23"/>
  <c r="L128" i="23"/>
  <c r="L129" i="23"/>
  <c r="R97" i="23"/>
  <c r="S95" i="23"/>
  <c r="S97" i="23" s="1"/>
  <c r="Q97" i="23"/>
  <c r="V53" i="23"/>
  <c r="I53" i="23"/>
  <c r="I45" i="23" s="1"/>
  <c r="H40" i="10"/>
  <c r="I40" i="10" s="1"/>
  <c r="I38" i="10" s="1"/>
  <c r="E40" i="10"/>
  <c r="E38" i="10" s="1"/>
  <c r="H61" i="10"/>
  <c r="I61" i="10" s="1"/>
  <c r="D62" i="10"/>
  <c r="E61" i="10"/>
  <c r="AQ106" i="17"/>
  <c r="F108" i="17"/>
  <c r="K110" i="22"/>
  <c r="I112" i="22"/>
  <c r="K112" i="22" s="1"/>
  <c r="AS45" i="17"/>
  <c r="AR45" i="17"/>
  <c r="B155" i="10"/>
  <c r="E26" i="10"/>
  <c r="E42" i="10" s="1"/>
  <c r="E26" i="23" l="1"/>
  <c r="E42" i="23" s="1"/>
  <c r="R86" i="24"/>
  <c r="M130" i="24"/>
  <c r="M131" i="24"/>
  <c r="M133" i="24" s="1"/>
  <c r="P128" i="24"/>
  <c r="P129" i="24" s="1"/>
  <c r="Q97" i="24"/>
  <c r="R95" i="24"/>
  <c r="S95" i="24" s="1"/>
  <c r="S97" i="24" s="1"/>
  <c r="B156" i="24"/>
  <c r="O128" i="24"/>
  <c r="O129" i="24"/>
  <c r="V60" i="24"/>
  <c r="I60" i="24"/>
  <c r="W53" i="24"/>
  <c r="W45" i="24" s="1"/>
  <c r="V45" i="24"/>
  <c r="V40" i="24"/>
  <c r="I40" i="24"/>
  <c r="I38" i="24" s="1"/>
  <c r="I26" i="24" s="1"/>
  <c r="I42" i="24" s="1"/>
  <c r="N128" i="24"/>
  <c r="N129" i="24" s="1"/>
  <c r="S72" i="24"/>
  <c r="S86" i="24" s="1"/>
  <c r="Q86" i="24"/>
  <c r="H61" i="24"/>
  <c r="D62" i="24"/>
  <c r="E61" i="24"/>
  <c r="V40" i="23"/>
  <c r="I40" i="23"/>
  <c r="I38" i="23" s="1"/>
  <c r="I26" i="23" s="1"/>
  <c r="I42" i="23" s="1"/>
  <c r="O86" i="23"/>
  <c r="O127" i="23" s="1"/>
  <c r="B156" i="23"/>
  <c r="D62" i="23"/>
  <c r="H61" i="23"/>
  <c r="E61" i="23"/>
  <c r="M128" i="23"/>
  <c r="M129" i="23" s="1"/>
  <c r="L130" i="23"/>
  <c r="L131" i="23" s="1"/>
  <c r="L133" i="23" s="1"/>
  <c r="V60" i="23"/>
  <c r="I60" i="23"/>
  <c r="W53" i="23"/>
  <c r="W45" i="23" s="1"/>
  <c r="V45" i="23"/>
  <c r="T95" i="23"/>
  <c r="T97" i="23" s="1"/>
  <c r="N86" i="23"/>
  <c r="N127" i="23" s="1"/>
  <c r="P72" i="23"/>
  <c r="Q72" i="23" s="1"/>
  <c r="F110" i="17"/>
  <c r="AQ108" i="17"/>
  <c r="AS106" i="17"/>
  <c r="AR106" i="17"/>
  <c r="B156" i="10"/>
  <c r="H62" i="10"/>
  <c r="I62" i="10" s="1"/>
  <c r="I59" i="10" s="1"/>
  <c r="I57" i="10" s="1"/>
  <c r="I70" i="10" s="1"/>
  <c r="I127" i="10" s="1"/>
  <c r="E62" i="10"/>
  <c r="E59" i="10" s="1"/>
  <c r="E57" i="10" s="1"/>
  <c r="P130" i="24" l="1"/>
  <c r="P131" i="24" s="1"/>
  <c r="P133" i="24" s="1"/>
  <c r="O130" i="24"/>
  <c r="O131" i="24" s="1"/>
  <c r="O133" i="24" s="1"/>
  <c r="Q127" i="24"/>
  <c r="S127" i="24"/>
  <c r="W40" i="24"/>
  <c r="W38" i="24" s="1"/>
  <c r="W26" i="24" s="1"/>
  <c r="W42" i="24" s="1"/>
  <c r="V38" i="24"/>
  <c r="V26" i="24" s="1"/>
  <c r="V42" i="24" s="1"/>
  <c r="T72" i="24"/>
  <c r="T86" i="24" s="1"/>
  <c r="V61" i="24"/>
  <c r="W61" i="24" s="1"/>
  <c r="I61" i="24"/>
  <c r="N130" i="24"/>
  <c r="N131" i="24" s="1"/>
  <c r="N133" i="24" s="1"/>
  <c r="H62" i="24"/>
  <c r="E62" i="24"/>
  <c r="E59" i="24" s="1"/>
  <c r="E57" i="24" s="1"/>
  <c r="W60" i="24"/>
  <c r="T95" i="24"/>
  <c r="T97" i="24" s="1"/>
  <c r="R97" i="24"/>
  <c r="R127" i="24" s="1"/>
  <c r="Q86" i="23"/>
  <c r="Q127" i="23" s="1"/>
  <c r="N128" i="23"/>
  <c r="N129" i="23" s="1"/>
  <c r="V61" i="23"/>
  <c r="W61" i="23" s="1"/>
  <c r="I61" i="23"/>
  <c r="W40" i="23"/>
  <c r="W38" i="23" s="1"/>
  <c r="W26" i="23" s="1"/>
  <c r="W42" i="23" s="1"/>
  <c r="V38" i="23"/>
  <c r="V26" i="23" s="1"/>
  <c r="V42" i="23" s="1"/>
  <c r="W60" i="23"/>
  <c r="H62" i="23"/>
  <c r="E62" i="23"/>
  <c r="E59" i="23" s="1"/>
  <c r="E57" i="23" s="1"/>
  <c r="R72" i="23"/>
  <c r="S72" i="23" s="1"/>
  <c r="S86" i="23" s="1"/>
  <c r="S127" i="23" s="1"/>
  <c r="P86" i="23"/>
  <c r="P127" i="23" s="1"/>
  <c r="M130" i="23"/>
  <c r="M131" i="23"/>
  <c r="M133" i="23" s="1"/>
  <c r="O128" i="23"/>
  <c r="O129" i="23" s="1"/>
  <c r="AS108" i="17"/>
  <c r="AR108" i="17"/>
  <c r="F111" i="17"/>
  <c r="AQ111" i="17" s="1"/>
  <c r="AQ110" i="17"/>
  <c r="B157" i="10"/>
  <c r="E70" i="10"/>
  <c r="I128" i="10"/>
  <c r="I129" i="10" s="1"/>
  <c r="B157" i="24" l="1"/>
  <c r="E70" i="24"/>
  <c r="R128" i="24"/>
  <c r="R129" i="24" s="1"/>
  <c r="V62" i="24"/>
  <c r="W62" i="24" s="1"/>
  <c r="W59" i="24" s="1"/>
  <c r="W57" i="24" s="1"/>
  <c r="W70" i="24" s="1"/>
  <c r="W127" i="24" s="1"/>
  <c r="I62" i="24"/>
  <c r="I59" i="24" s="1"/>
  <c r="I57" i="24" s="1"/>
  <c r="I70" i="24" s="1"/>
  <c r="I127" i="24" s="1"/>
  <c r="Q128" i="24"/>
  <c r="Q129" i="24" s="1"/>
  <c r="T127" i="24"/>
  <c r="S128" i="24"/>
  <c r="S129" i="24" s="1"/>
  <c r="S128" i="23"/>
  <c r="S129" i="23"/>
  <c r="B157" i="23"/>
  <c r="E70" i="23"/>
  <c r="O130" i="23"/>
  <c r="O131" i="23"/>
  <c r="O133" i="23" s="1"/>
  <c r="V62" i="23"/>
  <c r="I62" i="23"/>
  <c r="I59" i="23" s="1"/>
  <c r="I57" i="23" s="1"/>
  <c r="I70" i="23" s="1"/>
  <c r="I127" i="23" s="1"/>
  <c r="N130" i="23"/>
  <c r="N131" i="23" s="1"/>
  <c r="N133" i="23" s="1"/>
  <c r="Q128" i="23"/>
  <c r="Q129" i="23" s="1"/>
  <c r="P128" i="23"/>
  <c r="P129" i="23" s="1"/>
  <c r="R86" i="23"/>
  <c r="R127" i="23" s="1"/>
  <c r="T72" i="23"/>
  <c r="T86" i="23" s="1"/>
  <c r="T127" i="23" s="1"/>
  <c r="I130" i="10"/>
  <c r="I131" i="10"/>
  <c r="I133" i="10" s="1"/>
  <c r="AS110" i="17"/>
  <c r="AR110" i="17"/>
  <c r="AS111" i="17"/>
  <c r="AR111" i="17"/>
  <c r="B159" i="10"/>
  <c r="E127" i="10"/>
  <c r="V59" i="24" l="1"/>
  <c r="V57" i="24" s="1"/>
  <c r="V70" i="24" s="1"/>
  <c r="V127" i="24" s="1"/>
  <c r="V128" i="24" s="1"/>
  <c r="W128" i="24"/>
  <c r="W129" i="24" s="1"/>
  <c r="Q130" i="24"/>
  <c r="Q131" i="24"/>
  <c r="Q133" i="24" s="1"/>
  <c r="R130" i="24"/>
  <c r="R131" i="24" s="1"/>
  <c r="R133" i="24" s="1"/>
  <c r="S130" i="24"/>
  <c r="S131" i="24"/>
  <c r="S133" i="24" s="1"/>
  <c r="I128" i="24"/>
  <c r="I129" i="24"/>
  <c r="B159" i="24"/>
  <c r="E127" i="24"/>
  <c r="T128" i="24"/>
  <c r="T129" i="24" s="1"/>
  <c r="P130" i="23"/>
  <c r="P131" i="23" s="1"/>
  <c r="P133" i="23" s="1"/>
  <c r="Q130" i="23"/>
  <c r="Q131" i="23"/>
  <c r="Q133" i="23" s="1"/>
  <c r="W62" i="23"/>
  <c r="W59" i="23" s="1"/>
  <c r="W57" i="23" s="1"/>
  <c r="W70" i="23" s="1"/>
  <c r="W127" i="23" s="1"/>
  <c r="V59" i="23"/>
  <c r="V57" i="23" s="1"/>
  <c r="V70" i="23" s="1"/>
  <c r="V127" i="23" s="1"/>
  <c r="B159" i="23"/>
  <c r="E127" i="23"/>
  <c r="T128" i="23"/>
  <c r="T129" i="23" s="1"/>
  <c r="S130" i="23"/>
  <c r="S131" i="23"/>
  <c r="S133" i="23" s="1"/>
  <c r="R128" i="23"/>
  <c r="R129" i="23" s="1"/>
  <c r="I128" i="23"/>
  <c r="I129" i="23"/>
  <c r="B164" i="10"/>
  <c r="C159" i="10" s="1"/>
  <c r="E128" i="10"/>
  <c r="E129" i="10" s="1"/>
  <c r="V129" i="24" l="1"/>
  <c r="T130" i="24"/>
  <c r="T131" i="24" s="1"/>
  <c r="T133" i="24" s="1"/>
  <c r="W130" i="24"/>
  <c r="W131" i="24" s="1"/>
  <c r="W133" i="24" s="1"/>
  <c r="B164" i="24"/>
  <c r="C159" i="24" s="1"/>
  <c r="E128" i="24"/>
  <c r="E129" i="24" s="1"/>
  <c r="I130" i="24"/>
  <c r="I131" i="24" s="1"/>
  <c r="I133" i="24" s="1"/>
  <c r="V130" i="24"/>
  <c r="V131" i="24" s="1"/>
  <c r="V133" i="24" s="1"/>
  <c r="R130" i="23"/>
  <c r="R131" i="23"/>
  <c r="R133" i="23" s="1"/>
  <c r="I130" i="23"/>
  <c r="I131" i="23"/>
  <c r="I133" i="23" s="1"/>
  <c r="E128" i="23"/>
  <c r="E129" i="23" s="1"/>
  <c r="B164" i="23"/>
  <c r="C159" i="23"/>
  <c r="V128" i="23"/>
  <c r="V129" i="23" s="1"/>
  <c r="T130" i="23"/>
  <c r="T131" i="23" s="1"/>
  <c r="T133" i="23" s="1"/>
  <c r="W128" i="23"/>
  <c r="W129" i="23" s="1"/>
  <c r="E130" i="10"/>
  <c r="E131" i="10" s="1"/>
  <c r="C163" i="10"/>
  <c r="C161" i="10"/>
  <c r="C160" i="10"/>
  <c r="C158" i="10"/>
  <c r="C154" i="10"/>
  <c r="C162" i="10"/>
  <c r="C155" i="10"/>
  <c r="C156" i="10"/>
  <c r="C157" i="10"/>
  <c r="E130" i="24" l="1"/>
  <c r="E131" i="24" s="1"/>
  <c r="C163" i="24"/>
  <c r="C158" i="24"/>
  <c r="C161" i="24"/>
  <c r="C160" i="24"/>
  <c r="C162" i="24"/>
  <c r="C154" i="24"/>
  <c r="C155" i="24"/>
  <c r="C156" i="24"/>
  <c r="C157" i="24"/>
  <c r="V130" i="23"/>
  <c r="V131" i="23" s="1"/>
  <c r="V133" i="23" s="1"/>
  <c r="E130" i="23"/>
  <c r="E131" i="23" s="1"/>
  <c r="W130" i="23"/>
  <c r="W131" i="23"/>
  <c r="W133" i="23" s="1"/>
  <c r="C158" i="23"/>
  <c r="C160" i="23"/>
  <c r="C161" i="23"/>
  <c r="C162" i="23"/>
  <c r="C163" i="23"/>
  <c r="C154" i="23"/>
  <c r="C155" i="23"/>
  <c r="C156" i="23"/>
  <c r="C157" i="23"/>
  <c r="E133" i="10"/>
  <c r="B165" i="10"/>
  <c r="B165" i="24" l="1"/>
  <c r="E133" i="24"/>
  <c r="B165" i="23"/>
  <c r="E133" i="23"/>
  <c r="D163" i="10"/>
  <c r="D161" i="10"/>
  <c r="D154" i="10"/>
  <c r="D160" i="10"/>
  <c r="D158" i="10"/>
  <c r="D162" i="10"/>
  <c r="D155" i="10"/>
  <c r="D156" i="10"/>
  <c r="D157" i="10"/>
  <c r="D159" i="10"/>
  <c r="D164" i="10"/>
  <c r="D161" i="24" l="1"/>
  <c r="D158" i="24"/>
  <c r="D163" i="24"/>
  <c r="D160" i="24"/>
  <c r="D162" i="24"/>
  <c r="D154" i="24"/>
  <c r="D155" i="24"/>
  <c r="D156" i="24"/>
  <c r="D157" i="24"/>
  <c r="D159" i="24"/>
  <c r="D164" i="24"/>
  <c r="D158" i="23"/>
  <c r="D161" i="23"/>
  <c r="D163" i="23"/>
  <c r="D162" i="23"/>
  <c r="D160" i="23"/>
  <c r="D154" i="23"/>
  <c r="D155" i="23"/>
  <c r="D156" i="23"/>
  <c r="D157" i="23"/>
  <c r="D159" i="23"/>
  <c r="D164" i="23"/>
</calcChain>
</file>

<file path=xl/sharedStrings.xml><?xml version="1.0" encoding="utf-8"?>
<sst xmlns="http://schemas.openxmlformats.org/spreadsheetml/2006/main" count="4596" uniqueCount="1458">
  <si>
    <t>CENTRE AFRICAIN POUR LES APPLICATIONS</t>
  </si>
  <si>
    <t>DE LA METEOROLOGIE AU DEVELOPEMENT</t>
  </si>
  <si>
    <t>JOURNAL DE BANQUE ACMAD/CLIMSA-GFCS</t>
  </si>
  <si>
    <t>COMPTE  BOA : ACMAD/GFCS XOF N° 01003-001336780137-54</t>
  </si>
  <si>
    <t>Date</t>
  </si>
  <si>
    <t>Bénéficiaire / Prestataire</t>
  </si>
  <si>
    <t xml:space="preserve">Description </t>
  </si>
  <si>
    <t>N° Ordre/Voucher</t>
  </si>
  <si>
    <t>N° chèque ou Virement</t>
  </si>
  <si>
    <t>Montant (XOF)</t>
  </si>
  <si>
    <t>Activité/ligne budgétaire</t>
  </si>
  <si>
    <t>Débit</t>
  </si>
  <si>
    <t>Crédit</t>
  </si>
  <si>
    <t>Solde</t>
  </si>
  <si>
    <t>01 MARS - 30 SEPTEMBRE 2021</t>
  </si>
  <si>
    <t xml:space="preserve"> Solde d'ouverture</t>
  </si>
  <si>
    <t xml:space="preserve">BOA </t>
  </si>
  <si>
    <t>Frais et commissions bancaires, mars 2021 (6000+1080)</t>
  </si>
  <si>
    <t>001/21</t>
  </si>
  <si>
    <t>Prélèvement</t>
  </si>
  <si>
    <t>5.6.2 Financial services</t>
  </si>
  <si>
    <t>Frais et commissions bancaires, avril 2021(6000+1080)</t>
  </si>
  <si>
    <t>002/21</t>
  </si>
  <si>
    <t>AUC-EU (Commission de l'Unon Africaine-Union Européenne)</t>
  </si>
  <si>
    <t>Première avance reçue de l'Union Africaine pour la mise en oruvre des activités du Projet ClimSA (30%)           (€ 1 352 415,37)</t>
  </si>
  <si>
    <t>003/21</t>
  </si>
  <si>
    <t>Virement</t>
  </si>
  <si>
    <t>Frais et commissions bancaires, mai 2021(6000+1080)</t>
  </si>
  <si>
    <t>004/21</t>
  </si>
  <si>
    <t>Frais et commissions bancaires, juin 2021(6000+1080+108+19)</t>
  </si>
  <si>
    <t>005/21</t>
  </si>
  <si>
    <t>Léon Guy RAFINDRAKOTO</t>
  </si>
  <si>
    <r>
      <rPr>
        <sz val="10"/>
        <color theme="1"/>
        <rFont val="Arial Narrow"/>
      </rPr>
      <t xml:space="preserve">Avance pour frais d'installation- </t>
    </r>
    <r>
      <rPr>
        <b/>
        <sz val="10"/>
        <color rgb="FF000000"/>
        <rFont val="Arial Narrow"/>
      </rPr>
      <t>A rembourser</t>
    </r>
  </si>
  <si>
    <t>006/21</t>
  </si>
  <si>
    <t>1.2.4b Technical -  Thematic Experts (2 Forecasters )</t>
  </si>
  <si>
    <t>Godefroid NSHIMIRIMANA</t>
  </si>
  <si>
    <r>
      <rPr>
        <sz val="10"/>
        <color theme="1"/>
        <rFont val="Arial Narrow"/>
      </rPr>
      <t xml:space="preserve">Avance pour frais d'installation- </t>
    </r>
    <r>
      <rPr>
        <b/>
        <sz val="10"/>
        <color rgb="FF000000"/>
        <rFont val="Arial Narrow"/>
      </rPr>
      <t>A rembourser</t>
    </r>
  </si>
  <si>
    <t>007/21</t>
  </si>
  <si>
    <t>Hubert KABENGELA NYAMABU</t>
  </si>
  <si>
    <r>
      <rPr>
        <sz val="10"/>
        <color theme="1"/>
        <rFont val="Arial Narrow"/>
      </rPr>
      <t xml:space="preserve">Avance pour frais d'installation- </t>
    </r>
    <r>
      <rPr>
        <b/>
        <sz val="10"/>
        <color rgb="FF000000"/>
        <rFont val="Arial Narrow"/>
      </rPr>
      <t>A rembourser</t>
    </r>
  </si>
  <si>
    <t>008/21</t>
  </si>
  <si>
    <t>1.2.5 Technical - Thematic Expert (Climate Monitoring )</t>
  </si>
  <si>
    <t>Serge BAYALA</t>
  </si>
  <si>
    <t>Avance pour frais d'installation à rembourser</t>
  </si>
  <si>
    <t>009/21</t>
  </si>
  <si>
    <t xml:space="preserve">1.2.9 Technical - Communications Expert </t>
  </si>
  <si>
    <t>Chèque annulé</t>
  </si>
  <si>
    <t>Frais et commissions bancaires, juillet 2021(6000+1080)</t>
  </si>
  <si>
    <t>010/21</t>
  </si>
  <si>
    <r>
      <rPr>
        <sz val="10"/>
        <color theme="1"/>
        <rFont val="Arial Narrow"/>
      </rPr>
      <t>Paiement partiel rémunération de juillet 2021-</t>
    </r>
    <r>
      <rPr>
        <b/>
        <sz val="10"/>
        <color rgb="FF000000"/>
        <rFont val="Arial Narrow"/>
      </rPr>
      <t>A rembourser</t>
    </r>
  </si>
  <si>
    <t>011/21</t>
  </si>
  <si>
    <r>
      <rPr>
        <sz val="10"/>
        <color theme="1"/>
        <rFont val="Arial Narrow"/>
      </rPr>
      <t>Paiement partiel rémunération de juillet 2021-</t>
    </r>
    <r>
      <rPr>
        <b/>
        <sz val="10"/>
        <color rgb="FF000000"/>
        <rFont val="Arial Narrow"/>
      </rPr>
      <t>A rembourser</t>
    </r>
  </si>
  <si>
    <t>012/21</t>
  </si>
  <si>
    <r>
      <rPr>
        <sz val="10"/>
        <color theme="1"/>
        <rFont val="Arial Narrow"/>
      </rPr>
      <t>Paiement partiel rémunération de juillet 2021-</t>
    </r>
    <r>
      <rPr>
        <b/>
        <sz val="10"/>
        <color rgb="FF000000"/>
        <rFont val="Arial Narrow"/>
      </rPr>
      <t>A rembourser</t>
    </r>
  </si>
  <si>
    <r>
      <rPr>
        <sz val="10"/>
        <color theme="1"/>
        <rFont val="Arial Narrow"/>
      </rPr>
      <t>Paiement partiel rémunération de juillet 2021-</t>
    </r>
    <r>
      <rPr>
        <b/>
        <sz val="10"/>
        <color rgb="FF000000"/>
        <rFont val="Arial Narrow"/>
      </rPr>
      <t>A rembourser</t>
    </r>
  </si>
  <si>
    <t>Paiement salaire du mois de juillet 2021</t>
  </si>
  <si>
    <t>013/21</t>
  </si>
  <si>
    <t>Paiement salaire du mois d'Août  2021</t>
  </si>
  <si>
    <t>014/21</t>
  </si>
  <si>
    <t>Gilles B. ADOUKONOU B.</t>
  </si>
  <si>
    <t>015/21</t>
  </si>
  <si>
    <t xml:space="preserve">  1.2.3. Administrative and finance Officer</t>
  </si>
  <si>
    <t>Frais et commissions bancaires, août 2021(6000+1080)</t>
  </si>
  <si>
    <t>016/21</t>
  </si>
  <si>
    <t>Remboursement avance installation et rémunération partielle de juillet 2021</t>
  </si>
  <si>
    <t>017/21</t>
  </si>
  <si>
    <t>Espèces</t>
  </si>
  <si>
    <t>018/21</t>
  </si>
  <si>
    <t>019/21</t>
  </si>
  <si>
    <t>Chèque BIA N°0400323</t>
  </si>
  <si>
    <t>020/21</t>
  </si>
  <si>
    <t>Chèque BOA N°9583984</t>
  </si>
  <si>
    <t>Mounkaila DJIBO</t>
  </si>
  <si>
    <t>Paiement salaire de juin 2021-Local staff</t>
  </si>
  <si>
    <t>021/21</t>
  </si>
  <si>
    <t xml:space="preserve"> 1.1.2 Support - Logistics </t>
  </si>
  <si>
    <t>Alou Zeinabou ALI</t>
  </si>
  <si>
    <t xml:space="preserve">1.1.6   Support - Accountant </t>
  </si>
  <si>
    <t>Nafissa Moussa SOULEYMANE</t>
  </si>
  <si>
    <t xml:space="preserve">1.1.5 Support - Human resource  </t>
  </si>
  <si>
    <t>Maman TOUZOUKOU</t>
  </si>
  <si>
    <t xml:space="preserve">   1.1.3 Support - Driver</t>
  </si>
  <si>
    <t>Ali Ahmed ABANI</t>
  </si>
  <si>
    <t xml:space="preserve"> 1. 1.4 Support- Computer network administrator </t>
  </si>
  <si>
    <t>Safia ALFA</t>
  </si>
  <si>
    <t xml:space="preserve">1.1.1 Support - Secretariat </t>
  </si>
  <si>
    <t>Paiement salaire de juillet 2021-Local staff</t>
  </si>
  <si>
    <t>022/21</t>
  </si>
  <si>
    <t>André KAMGA FOAMOUHOUE</t>
  </si>
  <si>
    <t>Paiement salaire de juin 2021-Chef Projet</t>
  </si>
  <si>
    <t>023/21</t>
  </si>
  <si>
    <t xml:space="preserve"> 1.2.1 Manager/Executive</t>
  </si>
  <si>
    <t>Paiement salaire de juillet 2021-Chef Projet</t>
  </si>
  <si>
    <t>024/21</t>
  </si>
  <si>
    <t>Paiement salaire d'août 2021-Local staff</t>
  </si>
  <si>
    <t>025/21</t>
  </si>
  <si>
    <t>Paiement salaire d'août 2021-Chef Projet</t>
  </si>
  <si>
    <t>026/21</t>
  </si>
  <si>
    <t>Remboursement frais de test Covid-19</t>
  </si>
  <si>
    <t>027/21</t>
  </si>
  <si>
    <t>2.2.2.1 Visa + terminal expensive (for travel)</t>
  </si>
  <si>
    <t>SATGURU Travels</t>
  </si>
  <si>
    <t xml:space="preserve">Paiement pour achat de billets d'avion </t>
  </si>
  <si>
    <t>028/21</t>
  </si>
  <si>
    <t>2.3.1 International travel to and/or from duty station after recruitment</t>
  </si>
  <si>
    <t>CDiscussion SARL</t>
  </si>
  <si>
    <t>Paiement facture N°2021091701, pour publication illimitée d'offres d'emplois et d'avis d'appels d'offres pendant 12 mois</t>
  </si>
  <si>
    <t>029/21</t>
  </si>
  <si>
    <t>6.1.1 Other costs of recruitment</t>
  </si>
  <si>
    <t>Frais bancaires prélevés sur le virement de Cdiscussion SARL</t>
  </si>
  <si>
    <t>030/21</t>
  </si>
  <si>
    <t>CNAVIE</t>
  </si>
  <si>
    <t>Piaement  prime assurance retraite Juillet, Août, Sept 2021 de Léon Guy Rafindrakoto</t>
  </si>
  <si>
    <t>031/21</t>
  </si>
  <si>
    <t>Piaement  prime assurance retraite Juillet, Août, Sept 2021 de Godefroid NSHIMIRIMANA</t>
  </si>
  <si>
    <t>032/21</t>
  </si>
  <si>
    <t>Piaement  prime assurance retraite Juillet, Août, Sept 2021 de Hubert Kabengela</t>
  </si>
  <si>
    <t>033/21</t>
  </si>
  <si>
    <t>Piaement  prime assurance retraite Juillet, Août, Sept 2021 de Serge Bayala</t>
  </si>
  <si>
    <t>034/21</t>
  </si>
  <si>
    <t>Piaement  prime assurance retraite, Juin, Juillet, Août, Sept 2021 de Dr André KAMGA F.</t>
  </si>
  <si>
    <t>035/21</t>
  </si>
  <si>
    <t>NSIA VIE</t>
  </si>
  <si>
    <t>Piaement  prime assurance retraite Août 2021 de Gilles ADOUKONOU</t>
  </si>
  <si>
    <t>036/21</t>
  </si>
  <si>
    <t>Piaement  prime assurance retraite Sept 2021 de Gilles ADOUKONOU</t>
  </si>
  <si>
    <t>037/21</t>
  </si>
  <si>
    <t>Frais bancaires prélevés sur le virement de NSIA VIE, Août 2021</t>
  </si>
  <si>
    <t>038/21</t>
  </si>
  <si>
    <t>Frais bancaires prélevés sur le virement de NSIA VIE, Sept 2021</t>
  </si>
  <si>
    <t>039/21</t>
  </si>
  <si>
    <t>Paiement salaire du mois de Sept  2021</t>
  </si>
  <si>
    <t>040/21</t>
  </si>
  <si>
    <t>Paiement salaire de Sept  2021-Local staff</t>
  </si>
  <si>
    <t>041/21</t>
  </si>
  <si>
    <t>Paiement salaire de Sept 2021-Chef Projet</t>
  </si>
  <si>
    <t>042/21</t>
  </si>
  <si>
    <t>NIGELEC</t>
  </si>
  <si>
    <t>Paiement facture N°FE620NA2M00073, électricité août 2021.</t>
  </si>
  <si>
    <t>043/21</t>
  </si>
  <si>
    <t>4.4 Other services (tel/fax,internet, electricity/heating,  maintenance)</t>
  </si>
  <si>
    <t>Frais et commissions bancaires, Sept 2021(6000+1080)</t>
  </si>
  <si>
    <t>044/21</t>
  </si>
  <si>
    <t>TOTAL (XOF)</t>
  </si>
  <si>
    <t>TOTAL(EUROS)</t>
  </si>
  <si>
    <t>Le Responsable Administratif et Financier</t>
  </si>
  <si>
    <t>Le Chef du Projet</t>
  </si>
  <si>
    <t>M. Gilles ADOUKONOU BAGAN                                                                                                                                                                                                                   Dr André KAMGA FOAMOUHOUE</t>
  </si>
  <si>
    <t>01 - 31 OCTOBRE  2021</t>
  </si>
  <si>
    <t>Gilles ADOUKONOU</t>
  </si>
  <si>
    <r>
      <rPr>
        <sz val="11"/>
        <color theme="1"/>
        <rFont val="Arial Narrow"/>
      </rPr>
      <t>Avance hébergement COP 26 à verser sur la carte visa prépayée Ecobank-</t>
    </r>
    <r>
      <rPr>
        <b/>
        <sz val="11"/>
        <color rgb="FF000000"/>
        <rFont val="Arial Narrow"/>
      </rPr>
      <t xml:space="preserve">A justifier </t>
    </r>
    <r>
      <rPr>
        <i/>
        <sz val="11"/>
        <color rgb="FF000000"/>
        <rFont val="Arial Narrow"/>
      </rPr>
      <t>( voir le journal carte visa Ecobank)</t>
    </r>
  </si>
  <si>
    <t>045/21</t>
  </si>
  <si>
    <t>Advance - To be allocated (Refer to details 1)</t>
  </si>
  <si>
    <t>CAREN Assurances</t>
  </si>
  <si>
    <t>Paiement assrance voyages, COP26</t>
  </si>
  <si>
    <t>046/21</t>
  </si>
  <si>
    <t xml:space="preserve">Achat de formulaires d'exonérataion Douanes,TVA, et les timbres fiscaux </t>
  </si>
  <si>
    <t>047/21</t>
  </si>
  <si>
    <t>4.3.2 Stationery including paper, and printer catridges</t>
  </si>
  <si>
    <t>Technique Métal</t>
  </si>
  <si>
    <t>Avance pour travaux de réfection du bureau des Experts</t>
  </si>
  <si>
    <t>048/21</t>
  </si>
  <si>
    <t>4.1.1 Maintenance, procurement, installation of new equipments and  refurbishment of the offices</t>
  </si>
  <si>
    <t>Ste Pluriel SARL</t>
  </si>
  <si>
    <t>Achat de bureaux  pour la salle des Experts</t>
  </si>
  <si>
    <t>049/21</t>
  </si>
  <si>
    <t>Ste ORCA Déco Sarl</t>
  </si>
  <si>
    <t xml:space="preserve">Achat de fauteuils pour la salle des Experts </t>
  </si>
  <si>
    <t>050/21</t>
  </si>
  <si>
    <t>3.2.9  Room chairs</t>
  </si>
  <si>
    <t>Avance frais de mission, COP26</t>
  </si>
  <si>
    <t>051/21</t>
  </si>
  <si>
    <t>1.3.1.7  Participation to UNFCCC COPs, SBSTA and IPCC events</t>
  </si>
  <si>
    <t>052/21</t>
  </si>
  <si>
    <t>053/21</t>
  </si>
  <si>
    <r>
      <rPr>
        <sz val="11"/>
        <color theme="1"/>
        <rFont val="Arial Narrow"/>
      </rPr>
      <t>Décaissement du budget d'organisation COP26 -</t>
    </r>
    <r>
      <rPr>
        <b/>
        <sz val="11"/>
        <color rgb="FF000000"/>
        <rFont val="Arial Narrow"/>
      </rPr>
      <t>A justifier</t>
    </r>
  </si>
  <si>
    <t>054/21</t>
  </si>
  <si>
    <t>Advance : To be allocated (Refer details 2)</t>
  </si>
  <si>
    <t>CROIX DU SUD</t>
  </si>
  <si>
    <t>Achat billets d'avion COP26</t>
  </si>
  <si>
    <t>055/21</t>
  </si>
  <si>
    <t>2.1.7  Participation to UNFCCC COPs</t>
  </si>
  <si>
    <t>ONEP</t>
  </si>
  <si>
    <t>Publication Avis Appel d'Offres véhicule</t>
  </si>
  <si>
    <t>056/21</t>
  </si>
  <si>
    <t>Pierre KAMSU TAMO</t>
  </si>
  <si>
    <t>Remboursement frais de visa</t>
  </si>
  <si>
    <t>057/21</t>
  </si>
  <si>
    <t>WAHEGURU Travels</t>
  </si>
  <si>
    <t>Achat de billets d'avion Hubert Kabengela et Pierre Tamo</t>
  </si>
  <si>
    <t>058/21</t>
  </si>
  <si>
    <t>Reversement reliquat frais d'organisation COP26</t>
  </si>
  <si>
    <t>059/21</t>
  </si>
  <si>
    <t>Advance - To be allocated (details sheet)</t>
  </si>
  <si>
    <t>Paiement consommation énergie électrique, Sept 2021</t>
  </si>
  <si>
    <t>060/21</t>
  </si>
  <si>
    <t xml:space="preserve">Piaement  prime assurance retraite des Experts, Oct 2021 </t>
  </si>
  <si>
    <t>061/21</t>
  </si>
  <si>
    <t>Several budget lines - To be allocated (Refer details 3)</t>
  </si>
  <si>
    <t>Piaement  prime assurance retraite Oct 2021 de Gilles ADOUKONOU</t>
  </si>
  <si>
    <t>062/21</t>
  </si>
  <si>
    <t>Frais bancaires prélevés sur le virement de NSIA VIE, Oct 2021</t>
  </si>
  <si>
    <t>063/21</t>
  </si>
  <si>
    <t>Paiement salaire du mois d'Oct  2021</t>
  </si>
  <si>
    <t>064/21</t>
  </si>
  <si>
    <t>Pierre Honoré KAMSU TAMO</t>
  </si>
  <si>
    <t>1.2.4a Technical - Senior Thematic Experts (Lead Forecaster )</t>
  </si>
  <si>
    <t>Paiement salaire d'Oct 2021-Local staff</t>
  </si>
  <si>
    <t>065/21</t>
  </si>
  <si>
    <t>Paiement salaire d'Oct 2021-Chef Projet</t>
  </si>
  <si>
    <t>066/21</t>
  </si>
  <si>
    <t>TC SONS Trading Sarl</t>
  </si>
  <si>
    <t>Achat de climatiseur LG dual Inverter pour le bureau des Experts</t>
  </si>
  <si>
    <t>067/21</t>
  </si>
  <si>
    <t>3.2.12 Air conditioner/split</t>
  </si>
  <si>
    <t>Frais et commissions bancaires, Oct 2021 (6000+1080)</t>
  </si>
  <si>
    <t>068/21</t>
  </si>
  <si>
    <t>TOTAL (EUROS)</t>
  </si>
  <si>
    <t>01 - 30 NOVEMBRE  2021</t>
  </si>
  <si>
    <t>CNSS</t>
  </si>
  <si>
    <t>Paiement cotisation retraite, persoonnel local, 3eme Trimestre 2021</t>
  </si>
  <si>
    <t>069/21</t>
  </si>
  <si>
    <t>Several budget lines - To be allocated (Refer to details 4)</t>
  </si>
  <si>
    <t>GAMEDZE Mduduzi Sunshine</t>
  </si>
  <si>
    <t>Acompte sur honoraires de nov 2021</t>
  </si>
  <si>
    <t>070/21</t>
  </si>
  <si>
    <t xml:space="preserve">1.2.10 Technical -Short Term Experts </t>
  </si>
  <si>
    <t>LAWAL Abiodun Kamoru</t>
  </si>
  <si>
    <t>Acompte sur salaire de nov 2021</t>
  </si>
  <si>
    <t>071/21</t>
  </si>
  <si>
    <t xml:space="preserve">   1.2.4 Technical -  Thematic Expert Climate Change scientist)</t>
  </si>
  <si>
    <t>Solde pour travaux de réfection du bureau des Experts</t>
  </si>
  <si>
    <t>072/21</t>
  </si>
  <si>
    <t>073/21</t>
  </si>
  <si>
    <t>MTTFE</t>
  </si>
  <si>
    <t>Piament pour installations électriques dans la salle des Experts</t>
  </si>
  <si>
    <t>074/21</t>
  </si>
  <si>
    <t>Paiement achat de billets d'avion, COP26</t>
  </si>
  <si>
    <t>075/21</t>
  </si>
  <si>
    <t xml:space="preserve">2.1.7  Participation to UNFCCC COPs, SBSTA, and IPCC events  </t>
  </si>
  <si>
    <t>Paiement achat de billets d'avion, Lawal et Gamedze</t>
  </si>
  <si>
    <t>076/21</t>
  </si>
  <si>
    <t>AD Com</t>
  </si>
  <si>
    <t>Production supports de communication, COP26</t>
  </si>
  <si>
    <t>077/21</t>
  </si>
  <si>
    <t>5.8.2  Materials for advocacy, exhibition,  side events during major conferences such as COPs and other meetings</t>
  </si>
  <si>
    <t>Paiement salaire du mois de Nov  2021</t>
  </si>
  <si>
    <t>078/21</t>
  </si>
  <si>
    <t>Paiement salaire de Nov 2021-Local staff</t>
  </si>
  <si>
    <t>079/21</t>
  </si>
  <si>
    <t>Paiement salaire de Nov 2021-Chef Projet</t>
  </si>
  <si>
    <t>080/21</t>
  </si>
  <si>
    <t>Paiement salaire net de Nov 2021</t>
  </si>
  <si>
    <t>081/21</t>
  </si>
  <si>
    <t>Paiement honoraires nets de nov 2021</t>
  </si>
  <si>
    <t>082/21</t>
  </si>
  <si>
    <t xml:space="preserve">Piaement  prime assurance retraite des Experts, Nov 2021 </t>
  </si>
  <si>
    <t>083/21</t>
  </si>
  <si>
    <t>Several budget lines - To be allocated (Refer to details 5)</t>
  </si>
  <si>
    <t>Piaement  prime assurance retraite Nov  2021 de Gilles ADOUKONOU</t>
  </si>
  <si>
    <t>084/21</t>
  </si>
  <si>
    <t>Frais bancaires prélevés sur le virement de NSIA VIE, Nov 2021</t>
  </si>
  <si>
    <t>085/21</t>
  </si>
  <si>
    <t xml:space="preserve">Piaement  prime assurance retraite de Pierre TAMO, Oct  2021 </t>
  </si>
  <si>
    <t>086/21</t>
  </si>
  <si>
    <t xml:space="preserve">Piaement  prime assurance retraite de Pierre TAMO, et Lawal Abiodun, Nov   2021 </t>
  </si>
  <si>
    <t>087/21</t>
  </si>
  <si>
    <t>Several budget lines - To be allocated (Refer to details 6)</t>
  </si>
  <si>
    <t>GAMMA Informatique</t>
  </si>
  <si>
    <t>Paiement avance de 30%-Contrat N°007/2021/ACMAD/GFCS</t>
  </si>
  <si>
    <t>088/21</t>
  </si>
  <si>
    <t xml:space="preserve">   3.2.3 Desktop/Laptop/tablet and data server</t>
  </si>
  <si>
    <t>Frais et commissions bancaires, Nov 2021(6000+1080)</t>
  </si>
  <si>
    <t>089/21</t>
  </si>
  <si>
    <t>01 - 31 DECEMBRE  2021</t>
  </si>
  <si>
    <t>Paiement consommation énergie électrique, Oct 2021</t>
  </si>
  <si>
    <t>090/21</t>
  </si>
  <si>
    <t>INFINITY &amp; CO</t>
  </si>
  <si>
    <t>Paiement pour achat de fournitures et consommables de bureau</t>
  </si>
  <si>
    <t>091/21</t>
  </si>
  <si>
    <t>4.3.1  office supplies</t>
  </si>
  <si>
    <t>Boubakar Hamadou</t>
  </si>
  <si>
    <t>Piaement pour réparation de fontaines d'eau de bureau pour le personnel</t>
  </si>
  <si>
    <t>092/21</t>
  </si>
  <si>
    <t>TOGNON Abel Roger</t>
  </si>
  <si>
    <t>Piament pour immatriculation des équipements du Projet</t>
  </si>
  <si>
    <t>093/21</t>
  </si>
  <si>
    <t>Retrait des espèces pour le règlement des petites dépenses en espèces</t>
  </si>
  <si>
    <t>094/21</t>
  </si>
  <si>
    <t>Paiement pour achat et installation d'un disjpncteur électrique</t>
  </si>
  <si>
    <t>095/21</t>
  </si>
  <si>
    <t>Roméo S. NKURUNZIZA</t>
  </si>
  <si>
    <t>Paiement pour achat de billet d'avion Birmingham-Glasgow-Birminghan, COP26</t>
  </si>
  <si>
    <t>096/21</t>
  </si>
  <si>
    <t>Paiement salaire du mois de Dec  2021</t>
  </si>
  <si>
    <t>097/21</t>
  </si>
  <si>
    <t>Kamoru Abiodun LAWAL</t>
  </si>
  <si>
    <t>Paiement salaire de Déc 2021-Local staff</t>
  </si>
  <si>
    <t>098/21</t>
  </si>
  <si>
    <t>Paiement salaire de Déc 2021-Chef Projet</t>
  </si>
  <si>
    <t>099/21</t>
  </si>
  <si>
    <t xml:space="preserve">Piaement  prime assurance retraite de 7 professionnels du Projet , Déc  2021 </t>
  </si>
  <si>
    <t>100/21</t>
  </si>
  <si>
    <t>Several budget lines - To be allocated (details 7)</t>
  </si>
  <si>
    <t>Piaement  prime assurance retraite Déc  2021 de Gilles ADOUKONOU</t>
  </si>
  <si>
    <t>101/21</t>
  </si>
  <si>
    <t>Frais bancaires prélevés sur le virement de NSIA VIE, Déc 2021</t>
  </si>
  <si>
    <t>102/21</t>
  </si>
  <si>
    <t>Paiement reliquat frais de mission, COP26</t>
  </si>
  <si>
    <t>103/21</t>
  </si>
  <si>
    <t>Several budget lines - To be allocated (Refer to details 8)</t>
  </si>
  <si>
    <t>104/21</t>
  </si>
  <si>
    <t>Several budget lines - To be allocated (details 9)</t>
  </si>
  <si>
    <t xml:space="preserve">Avance pour travaux de réfection du bureau; reprise peinture et cimentage </t>
  </si>
  <si>
    <t>105/21</t>
  </si>
  <si>
    <t>Frais et commissions bancaires, Déc 2021(6000+1080)</t>
  </si>
  <si>
    <t>106/21</t>
  </si>
  <si>
    <t>ANNEE 2022</t>
  </si>
  <si>
    <t>01 - 31 Janvier  2022</t>
  </si>
  <si>
    <t xml:space="preserve">Solde pour travaux de réfection du bureau; reprise peinture et cimentage </t>
  </si>
  <si>
    <t>107/22</t>
  </si>
  <si>
    <t>AKB Trading</t>
  </si>
  <si>
    <t>Paiement pour achat de 3 imprimantes laser blanc-noir Hp M428fdw</t>
  </si>
  <si>
    <t>108/22</t>
  </si>
  <si>
    <t>Paiement salaire du mois de Janv  2022</t>
  </si>
  <si>
    <t>109/22</t>
  </si>
  <si>
    <t xml:space="preserve">   1.2..4 Technical -  Thematic Expert Climate Change scientist)</t>
  </si>
  <si>
    <t>Paiement salaire de Janv 2022-Local staff</t>
  </si>
  <si>
    <t>110/22</t>
  </si>
  <si>
    <t>Paiement salaire de Jan 2022-Chef Projet</t>
  </si>
  <si>
    <t>111/22</t>
  </si>
  <si>
    <t>Piaement  prime assurance retraite de 7 professionnels du Projet , Jan  2022</t>
  </si>
  <si>
    <t>112/22</t>
  </si>
  <si>
    <t>Several budget lines - To be allocated (details 10)</t>
  </si>
  <si>
    <t>Piaement  prime assurance retraite Jan  2022 de Gilles ADOUKONOU</t>
  </si>
  <si>
    <t>113/22</t>
  </si>
  <si>
    <t>Frais bancaires prélevés sur le virement de NSIA VIE, Jan 2022</t>
  </si>
  <si>
    <t>114/22</t>
  </si>
  <si>
    <t>Paiement cotisation retraite, persoonnel local, 4eme Trimestre 2021</t>
  </si>
  <si>
    <t>115/22</t>
  </si>
  <si>
    <t>Several budget lines - To be allocated (details 11)</t>
  </si>
  <si>
    <t>SUNU Assurances</t>
  </si>
  <si>
    <t>Paiement prime annuelle assurance auto du véhicule Landcruiser Prado OI-19-005-RN</t>
  </si>
  <si>
    <t>116/22</t>
  </si>
  <si>
    <t xml:space="preserve">3.1 Vehicle </t>
  </si>
  <si>
    <t>Frais et commissions bancaires, Janv 2022 (6000+1080)</t>
  </si>
  <si>
    <t>117/21</t>
  </si>
  <si>
    <t>ETAT DES DEPENSES SUR COMPTE BANCAIRE XOF</t>
  </si>
  <si>
    <t>CLIMSA-GFCS</t>
  </si>
  <si>
    <t>N° chèque ou Virement ou espèces</t>
  </si>
  <si>
    <t xml:space="preserve">Montant </t>
  </si>
  <si>
    <t>Dépenses (XOF)</t>
  </si>
  <si>
    <t>Dépenses (€)</t>
  </si>
  <si>
    <t>MARS - SEPTEMBRE 2021</t>
  </si>
  <si>
    <r>
      <rPr>
        <sz val="10"/>
        <color theme="1"/>
        <rFont val="Arial Narrow"/>
      </rPr>
      <t xml:space="preserve">Avance pour frais d'installation- </t>
    </r>
    <r>
      <rPr>
        <b/>
        <sz val="10"/>
        <color rgb="FF000000"/>
        <rFont val="Arial Narrow"/>
      </rPr>
      <t>A rembourser</t>
    </r>
  </si>
  <si>
    <r>
      <rPr>
        <sz val="10"/>
        <color theme="1"/>
        <rFont val="Arial Narrow"/>
      </rPr>
      <t xml:space="preserve">Avance pour frais d'installation- </t>
    </r>
    <r>
      <rPr>
        <b/>
        <sz val="10"/>
        <color rgb="FF000000"/>
        <rFont val="Arial Narrow"/>
      </rPr>
      <t>A rembourser</t>
    </r>
  </si>
  <si>
    <r>
      <rPr>
        <sz val="10"/>
        <color theme="1"/>
        <rFont val="Arial Narrow"/>
      </rPr>
      <t xml:space="preserve">Avance pour frais d'installation- </t>
    </r>
    <r>
      <rPr>
        <b/>
        <sz val="10"/>
        <color rgb="FF000000"/>
        <rFont val="Arial Narrow"/>
      </rPr>
      <t>A rembourser</t>
    </r>
  </si>
  <si>
    <r>
      <rPr>
        <sz val="10"/>
        <color theme="1"/>
        <rFont val="Arial Narrow"/>
      </rPr>
      <t>Paiement partiel rémunération de juillet 2021-</t>
    </r>
    <r>
      <rPr>
        <b/>
        <sz val="10"/>
        <color rgb="FF000000"/>
        <rFont val="Arial Narrow"/>
      </rPr>
      <t>A rembourser</t>
    </r>
  </si>
  <si>
    <r>
      <rPr>
        <sz val="10"/>
        <color theme="1"/>
        <rFont val="Arial Narrow"/>
      </rPr>
      <t>Paiement partiel rémunération de juillet 2021-</t>
    </r>
    <r>
      <rPr>
        <b/>
        <sz val="10"/>
        <color rgb="FF000000"/>
        <rFont val="Arial Narrow"/>
      </rPr>
      <t>A rembourser</t>
    </r>
  </si>
  <si>
    <r>
      <rPr>
        <sz val="10"/>
        <color theme="1"/>
        <rFont val="Arial Narrow"/>
      </rPr>
      <t>Paiement partiel rémunération de juillet 2021-</t>
    </r>
    <r>
      <rPr>
        <b/>
        <sz val="10"/>
        <color rgb="FF000000"/>
        <rFont val="Arial Narrow"/>
      </rPr>
      <t>A rembourser</t>
    </r>
  </si>
  <si>
    <r>
      <rPr>
        <sz val="10"/>
        <color theme="1"/>
        <rFont val="Arial Narrow"/>
      </rPr>
      <t>Paiement partiel rémunération de juillet 2021-</t>
    </r>
    <r>
      <rPr>
        <b/>
        <sz val="10"/>
        <color rgb="FF000000"/>
        <rFont val="Arial Narrow"/>
      </rPr>
      <t>A rembourser</t>
    </r>
  </si>
  <si>
    <t>TOTAL</t>
  </si>
  <si>
    <t>M. Gilles ADOUKONOU BAGAN</t>
  </si>
  <si>
    <t>Dr André KAMGA FOAMOUHOUE</t>
  </si>
  <si>
    <r>
      <rPr>
        <sz val="11"/>
        <color theme="1"/>
        <rFont val="Arial Narrow"/>
      </rPr>
      <t>Avance hébergement COP 26 à verser sur la carte visa prépayée Ecobank-</t>
    </r>
    <r>
      <rPr>
        <b/>
        <sz val="11"/>
        <color rgb="FF000000"/>
        <rFont val="Arial Narrow"/>
      </rPr>
      <t>A justifier</t>
    </r>
  </si>
  <si>
    <t>Décaissement du budget d'organisation COP26 -A justifier</t>
  </si>
  <si>
    <t>Advance : To be allocated (details sheet)</t>
  </si>
  <si>
    <t xml:space="preserve">2.1.7  Participation to UNFCCC COPs, SBSTA, and IPCC events </t>
  </si>
  <si>
    <t xml:space="preserve">JOURNAL DE BANQUE </t>
  </si>
  <si>
    <t>CARTE VISA PREPAYEE ECOBANK-NIGER N°4814 5528 0968 6270 (XOF)</t>
  </si>
  <si>
    <t>OCTOBRE-NOVEMBRE 2021</t>
  </si>
  <si>
    <t>Solde d'ouverture</t>
  </si>
  <si>
    <t>08/10/2021</t>
  </si>
  <si>
    <t>Premier approvisionnement-Montant maximum</t>
  </si>
  <si>
    <t>CV/01/21</t>
  </si>
  <si>
    <t>ECOBANK-Niger</t>
  </si>
  <si>
    <t>Frais de chargement</t>
  </si>
  <si>
    <t>CV/02/21</t>
  </si>
  <si>
    <t>Frais d'activation</t>
  </si>
  <si>
    <t>CV/03/21</t>
  </si>
  <si>
    <t>Retrait de 5000 F pour l'activation de la carte</t>
  </si>
  <si>
    <t>CV/04/21</t>
  </si>
  <si>
    <t>Retrait</t>
  </si>
  <si>
    <t>HUMANHOTEL</t>
  </si>
  <si>
    <t>Avance- Frais de réservation de chambre</t>
  </si>
  <si>
    <t>Opération annulée</t>
  </si>
  <si>
    <t xml:space="preserve">1.3.1.7  Participation to UNFCCC COPs, SBSTA and IPCC events </t>
  </si>
  <si>
    <t>Frais liés au paiement de HUMANHOTEL</t>
  </si>
  <si>
    <t>CV/05/21</t>
  </si>
  <si>
    <t>09/10/2021</t>
  </si>
  <si>
    <t>Deuxième  approvisionnement-complément</t>
  </si>
  <si>
    <t>CV/06/21</t>
  </si>
  <si>
    <t>CV/07/21</t>
  </si>
  <si>
    <t>10/10/2021</t>
  </si>
  <si>
    <t xml:space="preserve">Remboursement pour annulation- Frais de réservation de chambre </t>
  </si>
  <si>
    <t>Remboursement -Frais liés au paiement de HUMANHOTEL</t>
  </si>
  <si>
    <t>CV/08/21</t>
  </si>
  <si>
    <t xml:space="preserve">ETAT DES DEPENSES  SUR LA CARTE VISA </t>
  </si>
  <si>
    <t>PREPAYEE ECOBANK-NIGER N°4814 5528 0968 6270 - XOF</t>
  </si>
  <si>
    <t xml:space="preserve">ACMAD-MESA </t>
  </si>
  <si>
    <t>Reversement par Bachir- Reliquat Atelier des partenaires MESA</t>
  </si>
  <si>
    <t>001/15</t>
  </si>
  <si>
    <t>Voir détails</t>
  </si>
  <si>
    <t>Approvisionnement du compte CFA</t>
  </si>
  <si>
    <t>002/15</t>
  </si>
  <si>
    <t>Joyce BANDA</t>
  </si>
  <si>
    <t>Paiement  avance sur salaire</t>
  </si>
  <si>
    <t>003/15</t>
  </si>
  <si>
    <t>1-System Engineer (ACMAD)</t>
  </si>
  <si>
    <t>France MOKOENA</t>
  </si>
  <si>
    <t>004/15</t>
  </si>
  <si>
    <t>1-Senior Thematic Expert (ACMAD) - service 1</t>
  </si>
  <si>
    <t>Leonard Njau NJOGU</t>
  </si>
  <si>
    <t xml:space="preserve">Paiement salaire de janvier 15 </t>
  </si>
  <si>
    <t>005/15</t>
  </si>
  <si>
    <t>1-Serv Development-STE</t>
  </si>
  <si>
    <t>006/15</t>
  </si>
  <si>
    <t>007/15</t>
  </si>
  <si>
    <t>008/15</t>
  </si>
  <si>
    <t xml:space="preserve">Paiement  salaire de janvier 15 </t>
  </si>
  <si>
    <t>009/15</t>
  </si>
  <si>
    <t>1-Project Manager</t>
  </si>
  <si>
    <t>1-Communication Officer</t>
  </si>
  <si>
    <t>Bachir Elh Garba DAN BAZOUA</t>
  </si>
  <si>
    <t xml:space="preserve">Paiement  salaires de janvier 15 </t>
  </si>
  <si>
    <t>1-Finance and Adm Officer</t>
  </si>
  <si>
    <t>Mbaiguedem MIAMBAYE</t>
  </si>
  <si>
    <t>1-Senior Thematic Expert (ACMAD) - service 2</t>
  </si>
  <si>
    <t>Details 1 : Pièce comptable N° 045/21</t>
  </si>
  <si>
    <t>Budget lines</t>
  </si>
  <si>
    <t>Montant</t>
  </si>
  <si>
    <t>CFA</t>
  </si>
  <si>
    <t>Euro</t>
  </si>
  <si>
    <t>Fonds disponible sur la carte</t>
  </si>
  <si>
    <t>Total</t>
  </si>
  <si>
    <t>Details 3 : Pièce comptable N° 061/21</t>
  </si>
  <si>
    <t>Details 4 : Pièce comptable N° 069/21</t>
  </si>
  <si>
    <t xml:space="preserve">   1.1.1 Support - Secretariat  </t>
  </si>
  <si>
    <t xml:space="preserve">   1.1.2 Support - Logistics </t>
  </si>
  <si>
    <t xml:space="preserve">  1. 1.4 Support- Computer network administrator </t>
  </si>
  <si>
    <t xml:space="preserve">    1.1.5 Support - Human resource   </t>
  </si>
  <si>
    <t>Details 4 : Pièce comptable N° 083/21</t>
  </si>
  <si>
    <t>Details 5 : Pièce comptable N° 087/21</t>
  </si>
  <si>
    <t xml:space="preserve">   1.2.4Technical -  Thematic Expert Climate Change scientist)</t>
  </si>
  <si>
    <t xml:space="preserve">   1.2.4a Technical - Senior Thematic Experts (Lead Forecaster )</t>
  </si>
  <si>
    <t>Details 7 : Pièce comptable N° 100/21</t>
  </si>
  <si>
    <t>Details 8 : Pièce comptable N° 103/21</t>
  </si>
  <si>
    <t xml:space="preserve">1.3.1.7  Participation to UNFCCC COPs, SBSTA and IPCC events  </t>
  </si>
  <si>
    <t>Details 9 : Pièce comptable N° 104/21</t>
  </si>
  <si>
    <t xml:space="preserve"> </t>
  </si>
  <si>
    <t>year 2 statrs with April 2022</t>
  </si>
  <si>
    <t>year 1 starts withApril 2021</t>
  </si>
  <si>
    <t xml:space="preserve">                                                                     Work plan year 2 (starts in late March  2022)</t>
  </si>
  <si>
    <t>Budget year 2</t>
  </si>
  <si>
    <t>rate</t>
  </si>
  <si>
    <t xml:space="preserve">                                        Year  2</t>
  </si>
  <si>
    <t>2ndYear</t>
  </si>
  <si>
    <t>3rd Year</t>
  </si>
  <si>
    <t>4th Year</t>
  </si>
  <si>
    <t>5th Year</t>
  </si>
  <si>
    <t>ACMAD Grant in effect on =</t>
  </si>
  <si>
    <t>March 23 2021</t>
  </si>
  <si>
    <t>Description</t>
  </si>
  <si>
    <t>M</t>
  </si>
  <si>
    <t>Sem</t>
  </si>
  <si>
    <t xml:space="preserve"> Lead partner</t>
  </si>
  <si>
    <t xml:space="preserve">             Other partners</t>
  </si>
  <si>
    <t>I</t>
  </si>
  <si>
    <t>II</t>
  </si>
  <si>
    <t>Preparations and Deployment of Project staff</t>
  </si>
  <si>
    <t>01</t>
  </si>
  <si>
    <t xml:space="preserve">Recruitment of  additional ACMAD CLimSA  staff  </t>
  </si>
  <si>
    <t>ACMAD</t>
  </si>
  <si>
    <t>EAMAC, UNECA</t>
  </si>
  <si>
    <t>02</t>
  </si>
  <si>
    <t>Training of  staff on project management and  EU, AU and standard administrative , procurement, accounting and financial procedures</t>
  </si>
  <si>
    <t xml:space="preserve">AUC, ACMAD, Consultants </t>
  </si>
  <si>
    <t>EU, CLimSA Programme by ACP Secretariat</t>
  </si>
  <si>
    <t>03</t>
  </si>
  <si>
    <t xml:space="preserve">Preparation of project documents and  Training on Result base Management </t>
  </si>
  <si>
    <t>ACMAD, consultants</t>
  </si>
  <si>
    <t>04</t>
  </si>
  <si>
    <t xml:space="preserve">preparation  Meeting for thel CLimSA project Steering, advisory and technical coordination  Committees  </t>
  </si>
  <si>
    <t>AUC</t>
  </si>
  <si>
    <t>05</t>
  </si>
  <si>
    <t>preparation of Stakeholders technical meetings and fora  including AU, ACMAD, WMO, JRC, EUMETSAT, DRR platform and AWGDRR, ClimHealth, Pan African Farmers Organization…</t>
  </si>
  <si>
    <t>06</t>
  </si>
  <si>
    <t xml:space="preserve">Internal and external coordination, organization, directing, controling  and reporting,, review meetings </t>
  </si>
  <si>
    <t>07</t>
  </si>
  <si>
    <t xml:space="preserve">Secretariat, accounting, financial  human resource, ldriving and ogidstics, inffrastructure management,  </t>
  </si>
  <si>
    <t>08</t>
  </si>
  <si>
    <t>Coordination/planning meetings with Regional Climate Centres, establish partnerships, communication and knowledge management</t>
  </si>
  <si>
    <t>ICPAC, AGRHYMET, CAPC, SADC/CSC OACPS/TAT</t>
  </si>
  <si>
    <t xml:space="preserve">                              Output1: Structured interaction between the users, researchers and climate services providers ia User Interface Platforms</t>
  </si>
  <si>
    <t>1.1</t>
  </si>
  <si>
    <t xml:space="preserve">Activity 1.1: Design and develop User interfaces </t>
  </si>
  <si>
    <t>ACMAD, AU</t>
  </si>
  <si>
    <t>1.1.1</t>
  </si>
  <si>
    <t>Train on the guidelines (ACOFs, RCOFs)) through meetings and workshops, consult, dialogue with stakeholders, apply the WMO guidelines on user interface and frameworks establishment, develop  or updateToRs for Agriculture, Health and DRR ( AWGDRR) User interfaces to ensure co-design, co-development and operational delivery of climate services</t>
  </si>
  <si>
    <t>WMO, AUC, Pan African Farmers Federation, AWGDRR, ClimHealth Africa, UNECA, FAO, WHO, UNDRR</t>
  </si>
  <si>
    <t>1.1.2</t>
  </si>
  <si>
    <t>Support preparation of operating plans for User interfaces at continental level, support Regional Centres and pilot NMHSs to establish User interfaces and/or frameworks</t>
  </si>
  <si>
    <t>AUC, RECs and RCCs</t>
  </si>
  <si>
    <t>1.1.3</t>
  </si>
  <si>
    <t>1.2</t>
  </si>
  <si>
    <t>Activity 1.2 Establish/strengthen/operatiionalize and promote  User Interface Platforms for DRR, Agriculture and Health.</t>
  </si>
  <si>
    <t xml:space="preserve"> National users services</t>
  </si>
  <si>
    <t>1.2.1</t>
  </si>
  <si>
    <t>Organize meetings or session including at AWGDRR and platform , agriculture and health events  for definition and specification of climate services for each sector ( Agriculture, Health, DRR and Water), develop, test and validate prototype products and services</t>
  </si>
  <si>
    <t>AUC, ClimHealth Africa, AWGDRR, Pan African Farmers Federation, African major  River Basin Organizations, UNOCHA, IFRC</t>
  </si>
  <si>
    <t>1.2.2</t>
  </si>
  <si>
    <t xml:space="preserve">Organize or co organize  RCOFs or other events including humanitarian sessions on User Interfaces to experiment prototype serviices and collect feedbacks for detail design  </t>
  </si>
  <si>
    <t>RCCs, Farmers Federations, ClimHealth and AWGDRR, UNOCHA, IFRC</t>
  </si>
  <si>
    <t>1.3</t>
  </si>
  <si>
    <t>Activity 1.3 Support establishement and operationalization of User interface at Regional and national level</t>
  </si>
  <si>
    <t xml:space="preserve">Assist RCCs and pilot countries with guidelines and training for establishment of the Interfaces </t>
  </si>
  <si>
    <t>WMO, ACP Secretariat</t>
  </si>
  <si>
    <t xml:space="preserve">Assist RCCs and pilot countries with methods, tools and training for operation of the Interfaces </t>
  </si>
  <si>
    <t xml:space="preserve">ACMAD </t>
  </si>
  <si>
    <t>WMO and ACP Secretariat</t>
  </si>
  <si>
    <t>1.4</t>
  </si>
  <si>
    <t>Activity 1.4 Assess Impact of the service and collect user feedbacks</t>
  </si>
  <si>
    <t>1.4.1</t>
  </si>
  <si>
    <t>Develop assessment tools</t>
  </si>
  <si>
    <t>WMO</t>
  </si>
  <si>
    <t xml:space="preserve">Organize Peer review of the service </t>
  </si>
  <si>
    <t xml:space="preserve">WMO, IFRC, FAO, Bassin Agencies,  RCCs </t>
  </si>
  <si>
    <t>1.4.2</t>
  </si>
  <si>
    <t xml:space="preserve">Use the tool for data collection , assess data to generate monitoring and evaluations of impacts  reports on the services </t>
  </si>
  <si>
    <t>RCCs</t>
  </si>
  <si>
    <t>Output2 Provision of quality climate services and climate information System (CSIS)strenghened</t>
  </si>
  <si>
    <t>2.1</t>
  </si>
  <si>
    <t>Activity 2.1 Enhance CAPC-ACCAPC-AC Capacities to produce, deliver and improve Climate Service in ECCAS States.</t>
  </si>
  <si>
    <t>2..1.1</t>
  </si>
  <si>
    <t>Develop or maintain climate service information System infrastructure  ( collecting, archiving, computing, internet communication) hard and software procurements, liaise with output 3, provide assistance to  developing RCCs</t>
  </si>
  <si>
    <t xml:space="preserve">WMO , EUMETSAT, JRC, </t>
  </si>
  <si>
    <t>2.1.2</t>
  </si>
  <si>
    <t xml:space="preserve">Train on climate service generation  input data, tools and products) with WMO, EUMETSAT; JRC, Copernicus and others </t>
  </si>
  <si>
    <t>WMO, EUMETSAT, JRC, Copernicus</t>
  </si>
  <si>
    <t>2.2</t>
  </si>
  <si>
    <t>Activity 2.2  implement and coordinate  a Climate Service Information System (CSIS) linking continental, regional, national, local and end users (smallholders);</t>
  </si>
  <si>
    <t>2.2.1</t>
  </si>
  <si>
    <t xml:space="preserve">Develop and test products for heallth, DRR and water, agriculture </t>
  </si>
  <si>
    <t>WMO, JRC, EUMETSAT, COPERNICUS, VITO</t>
  </si>
  <si>
    <t>2.2.2</t>
  </si>
  <si>
    <t xml:space="preserve">istructure products in  technical notes, bulletins, statements and briefs </t>
  </si>
  <si>
    <t>2.2.3</t>
  </si>
  <si>
    <t>Assist regions and countries to prepare technical notes, bulletins and statements</t>
  </si>
  <si>
    <t>2.2.4</t>
  </si>
  <si>
    <t>deliver  products, technical notes, reports, bulletins and climate outlook statements ( continental, interegional and regional)</t>
  </si>
  <si>
    <t>RCCs and User interfaces, IFRC, UNOCHA, Farmers Federation, FAO</t>
  </si>
  <si>
    <t>2.2.5</t>
  </si>
  <si>
    <t>Prepare products and coordinate production of the technical note, report including summary for policy makers  on the state of climate for Africa 2021 for global state of climate, COPs and other events, idem for the provisional state of climate for 2022</t>
  </si>
  <si>
    <t>WMO, FAO, UNECA, UNOCHA, IFRC, RCC and NMHSs</t>
  </si>
  <si>
    <t>2.2.6</t>
  </si>
  <si>
    <t>Assist Regional centres ( e,g CAPC) on planning and implementing demonstration phase for certification  ( with  training and exchanges, joint workshops, train on the job, secondment, fellowships)</t>
  </si>
  <si>
    <t>JRC, EUMETSAT, COPERNICUS, VITO</t>
  </si>
  <si>
    <t>2.2.7</t>
  </si>
  <si>
    <t>prepare RCC operational status report( use the RCC defined functions and products) including support to developing RCCs for demonstration phase, administer internally RCC suvey questionnaire to prepare the report</t>
  </si>
  <si>
    <t>2.3</t>
  </si>
  <si>
    <t xml:space="preserve">Activity 2.3 Adapt the e station towards a climate station and train for the use of the station . </t>
  </si>
  <si>
    <t>2.3.1</t>
  </si>
  <si>
    <t xml:space="preserve">continue design , prototype, experiment climate service station </t>
  </si>
  <si>
    <t>JRC, EUMETSAT, Copernicus, VITO, WMO</t>
  </si>
  <si>
    <t>2.3.2</t>
  </si>
  <si>
    <t>support preparation of  the station operational and administrator manuals</t>
  </si>
  <si>
    <t>JRC</t>
  </si>
  <si>
    <t>ACMAD, EUMETSAT</t>
  </si>
  <si>
    <t>2.3.3</t>
  </si>
  <si>
    <t xml:space="preserve">Attend JRC, EUMETSAT, COPERNICUS and other actors training sessions </t>
  </si>
  <si>
    <t>JRC, EUMETSAT, COPERNICUS</t>
  </si>
  <si>
    <t>2.4</t>
  </si>
  <si>
    <t>Activity 2.4 Establish and Improve Climate Data Management Systems (CDMS).</t>
  </si>
  <si>
    <t>ECCAS/CAPC-AC</t>
  </si>
  <si>
    <t>2.4.1</t>
  </si>
  <si>
    <t>support Making an inventory of historical African data at  NMHSs, ACMAD other RCCs and from WMO programmes</t>
  </si>
  <si>
    <t>WMO, Belgium Met Institute, University of Reading, COPERNICUS</t>
  </si>
  <si>
    <t>2.4.2</t>
  </si>
  <si>
    <t xml:space="preserve">Review , upgrade, test, tailor  climate data base applications for Africa with github on climsoft </t>
  </si>
  <si>
    <t>UK met Office, Meteo France, University of Reading, COPERNICUS</t>
  </si>
  <si>
    <t>2.4.3</t>
  </si>
  <si>
    <t>Support Regional Centres and pilot NMHS  to establish and operate climate database application ( e.g CLIMSOFT)</t>
  </si>
  <si>
    <t xml:space="preserve">UK Met Office, WMO; JRC, University of Reading </t>
  </si>
  <si>
    <t>2.5</t>
  </si>
  <si>
    <t xml:space="preserve">Activity 2.5 Support to define new products for Climate Services. </t>
  </si>
  <si>
    <t>2.5.1</t>
  </si>
  <si>
    <t>Review prodicts and services to better meet DRR and water, Health and agriculture needs</t>
  </si>
  <si>
    <t>WMO, IFRC, FAO, Bassin Agencies, forest structures Users services</t>
  </si>
  <si>
    <t>2.5.2</t>
  </si>
  <si>
    <t>Liaise with JRC and EUMETSAT to generate customized products and services  with climate station</t>
  </si>
  <si>
    <t>JRC, EUMETSAT, VITO</t>
  </si>
  <si>
    <t>2.5.3</t>
  </si>
  <si>
    <t>guide experts from ACMAD , other  RCCs and pilot NMHSs on methods, tools, products and services generation and communication trough focus group workshops and events</t>
  </si>
  <si>
    <t>EUMETSAT, JRC, COPERNICUS, VITO</t>
  </si>
  <si>
    <t>2.6</t>
  </si>
  <si>
    <t>Activity 2.6 Develop and Demonstrate National Climate Services production chain</t>
  </si>
  <si>
    <t>2.6.1</t>
  </si>
  <si>
    <t>Assist the pilot country with methods, tools, products for service delivery in  sectors</t>
  </si>
  <si>
    <t>other RCCs</t>
  </si>
  <si>
    <t>2.6.2</t>
  </si>
  <si>
    <t xml:space="preserve">Prepare catalogue ( including WIS catalogue) of products and automate their generation and configuration at ACMAD in the Climate station for pilot  countries 
</t>
  </si>
  <si>
    <t>2.6.3</t>
  </si>
  <si>
    <t xml:space="preserve">Twin with GPCs,  RCCs and pilot country to demonstrate real time use of the climate station for climate services </t>
  </si>
  <si>
    <t>RCCs and pilot NMHSs</t>
  </si>
  <si>
    <t>2.7</t>
  </si>
  <si>
    <t xml:space="preserve">Activity 2.7 Quality assurance for the climate service production </t>
  </si>
  <si>
    <t>JRC, WMO; EUMETSAT</t>
  </si>
  <si>
    <t>2.7.1</t>
  </si>
  <si>
    <t xml:space="preserve">Set up a quality assurance manual 
based on WMO guides, quality policy, Set up quality documentation archiving system 
</t>
  </si>
  <si>
    <t>JRC, WMO, COPERNICUS</t>
  </si>
  <si>
    <t>2.7.2</t>
  </si>
  <si>
    <t xml:space="preserve">Prepare procedures and instruction manuals with case studies or examples to control quality
</t>
  </si>
  <si>
    <t>JRC, COPERNICUS</t>
  </si>
  <si>
    <r>
      <rPr>
        <sz val="10"/>
        <color theme="1"/>
        <rFont val="Arial"/>
      </rPr>
      <t xml:space="preserve">                                                                                 </t>
    </r>
    <r>
      <rPr>
        <b/>
        <sz val="10"/>
        <color rgb="FF000000"/>
        <rFont val="Arial"/>
      </rPr>
      <t>Output 3:  Improved ACCESS TO DATA, PRODUCTS AND SERVICES</t>
    </r>
  </si>
  <si>
    <t>3.1</t>
  </si>
  <si>
    <t>Activity 3.1.  Assess impact of existing gaps in climate observing networks on the produced climate services by this programme and invest in ground-infrastructure to improve such services</t>
  </si>
  <si>
    <t>3.3.1</t>
  </si>
  <si>
    <t>Monitor and assess gaps in synoptic observing stations</t>
  </si>
  <si>
    <t>WMO/WIGOS; Pen State University, VITO</t>
  </si>
  <si>
    <t>3.3.2</t>
  </si>
  <si>
    <t>participate in WMO and other partners meetings to prepare investment plans to rehabilitate, maintain, monitor;  upgrade and sustain observing networks</t>
  </si>
  <si>
    <t>WMO/WIGOS, WIS Pen State University, VITO</t>
  </si>
  <si>
    <t>3.3.3</t>
  </si>
  <si>
    <t xml:space="preserve">contribute to sections in the investment plan presenting updgrades on the observing station with high value for the agriculture, DRR and Water, Health sectors </t>
  </si>
  <si>
    <t>3.2</t>
  </si>
  <si>
    <t>Activity 3.2.  Promote RCCs and NMHS access to data  and agreements with global data providers</t>
  </si>
  <si>
    <t>3.2.1</t>
  </si>
  <si>
    <t xml:space="preserve">Maintain Contact NMHS Niger,  ASECNA, Meteo Maroc, EUMETSATand WMO  to implement WIS, demonstrate WIS/DCPC capability at ACMAD </t>
  </si>
  <si>
    <t>Meteo Niger,  Maroc and EUMETSAT</t>
  </si>
  <si>
    <t>3.2.2</t>
  </si>
  <si>
    <t xml:space="preserve"> Review, update, establish agreements for data sharing with partners</t>
  </si>
  <si>
    <t>Data and products  Centres</t>
  </si>
  <si>
    <t>3.2.3</t>
  </si>
  <si>
    <t xml:space="preserve">Assist AUC to deploy, maintain  climate, PUMA, RARS stations across Africa </t>
  </si>
  <si>
    <t>AUC, JRC, EUMETSAT</t>
  </si>
  <si>
    <t>3.3</t>
  </si>
  <si>
    <t xml:space="preserve">Activity 3.3 Define and consolidate requirements for user driven services and provide feedback to international data providers </t>
  </si>
  <si>
    <t>ACMAD and JRC</t>
  </si>
  <si>
    <t xml:space="preserve"> Consolidate the requirements for products to meet the needs of RCCs and pilot NMHSs users through surveys and workshops and other events</t>
  </si>
  <si>
    <t>Feedback to the global data providers on the requirements of RCCs and pilot NMHSs through webinars and orther mechanisms including RAIDEG</t>
  </si>
  <si>
    <t>3.4</t>
  </si>
  <si>
    <r>
      <rPr>
        <b/>
        <sz val="10"/>
        <color theme="1"/>
        <rFont val="Arial"/>
      </rPr>
      <t xml:space="preserve">Activity 3.4 Operationalize </t>
    </r>
    <r>
      <rPr>
        <sz val="10"/>
        <color rgb="FF000000"/>
        <rFont val="Arial"/>
      </rPr>
      <t>RCCs</t>
    </r>
    <r>
      <rPr>
        <b/>
        <sz val="10"/>
        <color rgb="FF000000"/>
        <rFont val="Arial"/>
      </rPr>
      <t xml:space="preserve"> access to existing climate information produced at national level through NMHSs, including data rescue (recovery and digitalisation).</t>
    </r>
  </si>
  <si>
    <t>3.4.1</t>
  </si>
  <si>
    <t xml:space="preserve">Make inventory of data on microfiches and paper </t>
  </si>
  <si>
    <t>RCCs and pilot NMHSs, WMO</t>
  </si>
  <si>
    <t>3.4.2</t>
  </si>
  <si>
    <t>liaise with Copernicus on data rescue and reanalyses, support scanning and digitization of historical records</t>
  </si>
  <si>
    <t>RCCs and polit NMHSs, WMO</t>
  </si>
  <si>
    <t>3.4.3</t>
  </si>
  <si>
    <t xml:space="preserve">undertake quality control, homogenization, WIS formatting and archiving for furter extration for applications </t>
  </si>
  <si>
    <t>ACMAD, WMO</t>
  </si>
  <si>
    <t>3.4.4</t>
  </si>
  <si>
    <t>organize on the job training, secondments, interships and fellowships on data  management and exchange</t>
  </si>
  <si>
    <t>JRC, WMO</t>
  </si>
  <si>
    <t>3.5</t>
  </si>
  <si>
    <r>
      <rPr>
        <b/>
        <sz val="10"/>
        <color theme="1"/>
        <rFont val="Arial"/>
      </rPr>
      <t xml:space="preserve">Activity 3.5 Operationalize </t>
    </r>
    <r>
      <rPr>
        <sz val="10"/>
        <color rgb="FF000000"/>
        <rFont val="Arial"/>
      </rPr>
      <t>RCCs</t>
    </r>
    <r>
      <rPr>
        <b/>
        <sz val="10"/>
        <color rgb="FF000000"/>
        <rFont val="Arial"/>
      </rPr>
      <t xml:space="preserve"> access to existing climate information produced at national level through NMHSs, including data rescue (recovery and digitalisation).</t>
    </r>
  </si>
  <si>
    <t>3.5.1</t>
  </si>
  <si>
    <t>Document methods and tools for observational and model data intercomparisions and comparisons ( data science methods and tools)</t>
  </si>
  <si>
    <t>3.5.2</t>
  </si>
  <si>
    <t xml:space="preserve">use the tools for performance and usefulness assessment, provide gyidance for regional and national use </t>
  </si>
  <si>
    <t>3..5.3</t>
  </si>
  <si>
    <t>update tools for  calibration, downscaling, bias correction, multi model combination and share with countries</t>
  </si>
  <si>
    <t xml:space="preserve">                                                                              Output 4: Enhanced capacity  to generate and apply climate information  </t>
  </si>
  <si>
    <t>4.1</t>
  </si>
  <si>
    <t>Activity 4.1 Develop and implement a capacity building roadmap for every step of climate service;</t>
  </si>
  <si>
    <t>4.1.1</t>
  </si>
  <si>
    <t xml:space="preserve">Based on the capacity gaps and support development of a strategy/plan for training with emphasis on climate services providers and users </t>
  </si>
  <si>
    <t xml:space="preserve">ACP Secretariat </t>
  </si>
  <si>
    <t>ACMAD, AUC and JRC</t>
  </si>
  <si>
    <t>4.1.2</t>
  </si>
  <si>
    <t xml:space="preserve"> provide training materials, deliver courses on the job, at workshops, trough internships and exchange as part of fellowships and secondments</t>
  </si>
  <si>
    <t>WMO, JRC, COPERNICUS, EUMETSAT</t>
  </si>
  <si>
    <t>4.1.3</t>
  </si>
  <si>
    <t>Assist  through training and competency development for ECCAS/, ECOWAS, SADC, IGAD; IOC, UMA  on data management, climate monitoring, long range forecasting, climate scenarios, service delivery with events including COFs</t>
  </si>
  <si>
    <t>JRC, WMO, EUMETSAT, COPERNICUS</t>
  </si>
  <si>
    <t>4.2</t>
  </si>
  <si>
    <t>Activity 4.2 Participate to Intra ACP CLimSA yearly For a</t>
  </si>
  <si>
    <t>4.2.1</t>
  </si>
  <si>
    <t>Share experience and findings, discuss weaknesses on climate services with users, be aware of new technologies and products</t>
  </si>
  <si>
    <t>ACP Secretariat</t>
  </si>
  <si>
    <t>4.3</t>
  </si>
  <si>
    <t>Activity 4.3 Contribute to a dedicated information portal for the programme</t>
  </si>
  <si>
    <t>4.3.1</t>
  </si>
  <si>
    <t xml:space="preserve">Contribute to climate information portal design and content development  for best practice, tailored methods, tools, products sharing between regions by establishing related ACMAD portal with relevant content connected to OACPS secretariat </t>
  </si>
  <si>
    <t>4.4</t>
  </si>
  <si>
    <t xml:space="preserve">Activity 4.4. Master schorarship 
</t>
  </si>
  <si>
    <t>4.4.1</t>
  </si>
  <si>
    <t>Identify and motivate students and young professionals across Africa with challenging themes of the climate service value chain</t>
  </si>
  <si>
    <t>AUC, ACP Secretriat, WMO</t>
  </si>
  <si>
    <t>4.4.2</t>
  </si>
  <si>
    <t>Mobilize experts across the climate service value chain and connect with training opportunities in the ACP region , ssist for developing and using criteria for students selection</t>
  </si>
  <si>
    <t>4.4.3</t>
  </si>
  <si>
    <t xml:space="preserve">Provide  technical assistance  for implementation of the training strategy through students  mentoring 
</t>
  </si>
  <si>
    <t xml:space="preserve">                                             Output 5: Enhanced climate-informed decision and policy making in AFrica </t>
  </si>
  <si>
    <t>5.1</t>
  </si>
  <si>
    <t>Activity 5.1.  develop communication strategy and implementation plan ,  set up knowledge management model</t>
  </si>
  <si>
    <t>5.1.1</t>
  </si>
  <si>
    <t xml:space="preserve">Support preparation of  communication strategy and implementation plan </t>
  </si>
  <si>
    <t>ACP Secretariat, AUC</t>
  </si>
  <si>
    <t>5.1.2</t>
  </si>
  <si>
    <t>Prepare statements for policy events, fora and technical advices to AUC organs, provide outreach, visibility and communication materials for awareness raising</t>
  </si>
  <si>
    <t>5.1.3</t>
  </si>
  <si>
    <t>Develop, Update information portal  and develop new content</t>
  </si>
  <si>
    <t>AUC, ACP Secretariat</t>
  </si>
  <si>
    <t>5.1.4</t>
  </si>
  <si>
    <t>Organize events at COPs, DRR fora, Health, Adaptation Futures, agriculture, humanitarian fora and conferences</t>
  </si>
  <si>
    <t>5.2</t>
  </si>
  <si>
    <t>Activity 5.2. Mainstream climate services into  policies and programmes.</t>
  </si>
  <si>
    <t>5.2.1</t>
  </si>
  <si>
    <t>Organize meetings, consultations and dialogues to  strengthen climate and development planning interface with AUC and UNECA</t>
  </si>
  <si>
    <t>AUC, UNECA</t>
  </si>
  <si>
    <t>5.2.2</t>
  </si>
  <si>
    <t xml:space="preserve">Organize meetings to share content and update UNECA guidance document for development planning leading to integrating climate concerns in the guidance </t>
  </si>
  <si>
    <t>UNECA</t>
  </si>
  <si>
    <t>5.2.3</t>
  </si>
  <si>
    <t xml:space="preserve">Train ( with workshop, sessions at other events)on the use of climate services for planning/policy , This effort to expose planners on available guidelineson climate mainstreaming </t>
  </si>
  <si>
    <t>5.3</t>
  </si>
  <si>
    <r>
      <rPr>
        <b/>
        <sz val="10"/>
        <color theme="1"/>
        <rFont val="Arial"/>
      </rPr>
      <t>Activity 5.3. Bring added-value to climate services through integration of socio-economic elements,</t>
    </r>
    <r>
      <rPr>
        <sz val="10"/>
        <color rgb="FF000000"/>
        <rFont val="Arial"/>
      </rPr>
      <t xml:space="preserve"> </t>
    </r>
    <r>
      <rPr>
        <b/>
        <sz val="10"/>
        <color rgb="FF000000"/>
        <rFont val="Arial"/>
      </rPr>
      <t xml:space="preserve">analytical components and visualization tools. </t>
    </r>
  </si>
  <si>
    <t>5.3.1</t>
  </si>
  <si>
    <t>meet with UNECA and other partners to share socio economic impacts assessment tools</t>
  </si>
  <si>
    <t>UNECA, CIMA, UNDRR</t>
  </si>
  <si>
    <t>5.3.2</t>
  </si>
  <si>
    <t xml:space="preserve">prepare and disseminate impact based forecasts, demonstrate forecast based financing, support sections in the annual state of climate for Africa on losses and damages </t>
  </si>
  <si>
    <t>5.3.3</t>
  </si>
  <si>
    <t>Organize sessions to share and demonstrate application of losses and damages assessment tools</t>
  </si>
  <si>
    <t xml:space="preserve">  Total Budget in Euros</t>
  </si>
  <si>
    <t>All Years</t>
  </si>
  <si>
    <t xml:space="preserve">Minimum starting level  on the grid the salary in following collum is for 2 levels ahead to take yearly increments into account, Starting salaries are below the unit cost budgeted. Budgeted unit cost to be reached on year 3 after yearly increments </t>
  </si>
  <si>
    <t>Salary after 3 yearly increase r ( 3 increases) on year 4 need to modify budget for last increase using savings of year1 and 2</t>
  </si>
  <si>
    <t>i.e from L1 to L3 on year 3</t>
  </si>
  <si>
    <t>Execution Year 1</t>
  </si>
  <si>
    <t>Year 2</t>
  </si>
  <si>
    <t>Costs</t>
  </si>
  <si>
    <t># of units</t>
  </si>
  <si>
    <t>Unit value
(in EUR)</t>
  </si>
  <si>
    <t>Unit</t>
  </si>
  <si>
    <t>Budget Year 1
(in EUR)</t>
  </si>
  <si>
    <t>Quarter 1 (April-June 2021)</t>
  </si>
  <si>
    <t>Quarter 2 (July-Sept 2021)</t>
  </si>
  <si>
    <t>Quarter 3 (Oct-Dec 2021)</t>
  </si>
  <si>
    <t>Total 2021</t>
  </si>
  <si>
    <t>Rate</t>
  </si>
  <si>
    <t>Budget Year 2
(in EUR)</t>
  </si>
  <si>
    <t>1. Human Resources</t>
  </si>
  <si>
    <t xml:space="preserve">   1.1 Support staff </t>
  </si>
  <si>
    <t>Per month</t>
  </si>
  <si>
    <t>GS2E16</t>
  </si>
  <si>
    <t>il y a 50 000f pour 3 avancements pendant le projet et 60 000f par mois pour assurance maladie</t>
  </si>
  <si>
    <t>GS2E18</t>
  </si>
  <si>
    <t>GS1E18</t>
  </si>
  <si>
    <t>Per Month</t>
  </si>
  <si>
    <t>GS5E12</t>
  </si>
  <si>
    <t>GS5E8</t>
  </si>
  <si>
    <t>GS5E9</t>
  </si>
  <si>
    <t xml:space="preserve">    1.1.7 Support- Short Term expertise</t>
  </si>
  <si>
    <t xml:space="preserve">Per month </t>
  </si>
  <si>
    <t>GS2, GS3, GS4 put GS3E1 on average</t>
  </si>
  <si>
    <t>Monthly net for D2L3</t>
  </si>
  <si>
    <t>1.2 Salaries (gross salaries including social security
charges and other related costs, expat/int. staff)</t>
  </si>
  <si>
    <t xml:space="preserve">   1.2   International Staff</t>
  </si>
  <si>
    <t>No18 2019</t>
  </si>
  <si>
    <t xml:space="preserve">  1.2.1 Manager/Executive </t>
  </si>
  <si>
    <t xml:space="preserve">DGE4 on avreage but start on DGE2 </t>
  </si>
  <si>
    <t xml:space="preserve">1dollar equal 0.99 </t>
  </si>
  <si>
    <t xml:space="preserve">   1.2.2  Technical Coordinator </t>
  </si>
  <si>
    <t>P3E3</t>
  </si>
  <si>
    <t xml:space="preserve">    1.2.3. Administrative and finance Officer</t>
  </si>
  <si>
    <t>P2E6</t>
  </si>
  <si>
    <t>P1E3</t>
  </si>
  <si>
    <t>P2E5</t>
  </si>
  <si>
    <t>P5L3 monthly rate to convertin D2L3 equivalent</t>
  </si>
  <si>
    <t>1.2.4b   Technical -  Thematic Experts (2 Forecasters )</t>
  </si>
  <si>
    <t xml:space="preserve">   1.2.5 Technical - Thematic Expert (Climate Monitoring )</t>
  </si>
  <si>
    <t>1 P2L7</t>
  </si>
  <si>
    <t xml:space="preserve">   1.2.6 Technical - Database/IT  Expert</t>
  </si>
  <si>
    <t xml:space="preserve">   1.2.7 Technical - Communications Expert </t>
  </si>
  <si>
    <t xml:space="preserve">   1.2.8 Technical -Short Term Experts </t>
  </si>
  <si>
    <t>P1 to P3</t>
  </si>
  <si>
    <t xml:space="preserve">   1.3.1 Abroad (staff assigned to the Action)</t>
  </si>
  <si>
    <t>Per diem</t>
  </si>
  <si>
    <t>1.3.1.1 One Meeting to customize continental UIP guidelinesfor Africa (6 days of mission)</t>
  </si>
  <si>
    <t>Bob P5 NORCAP Monthly salary in US Dollar net follow by base salary which is UN P4 equivalent</t>
  </si>
  <si>
    <t>1.3.1.2 One meeting with UIP to define and specify services</t>
  </si>
  <si>
    <t>1.3.1.3 Participation to 2 Users meetings one every 2 years by 2 staff of the action for services delivery and feedback collection at the UIP for 3 days each</t>
  </si>
  <si>
    <t>1.3.1.4   Organization or participation to RCOFs (up to 5 days*4foras* 4years) with 5 participants from ACMAD and continental UIP</t>
  </si>
  <si>
    <t>1.3.1.5  Trainings of 2 ACMAD staffs every year by JRC, Copernicus or other Global centres for 4 years</t>
  </si>
  <si>
    <t>1.3.1.6   Training of 2 ACMAD staffs every year at EUMETSAT or other Centre</t>
  </si>
  <si>
    <t xml:space="preserve">1.3.1.8  Participation to Global DRR for a and Global Health and climate events once every 2 years </t>
  </si>
  <si>
    <t xml:space="preserve">   1.3.2 Local (staff assigned to the Action)</t>
  </si>
  <si>
    <t xml:space="preserve">   1.3.3 Meetings ( Governance and Manageent) participants</t>
  </si>
  <si>
    <t>1.3.3.1 Members attending ACMAD CSC meetings (15) Three meeting days and two travel days</t>
  </si>
  <si>
    <t>1.3.3.2 Technical coordination meetings with RCCs, JRC, EUMETSAT and other centres one every two years</t>
  </si>
  <si>
    <t>1.3.3.3  Kick-off and end of project meetings for 20 participants (One day of kick-off and one day for end of meeting and two travel days for each event)</t>
  </si>
  <si>
    <t>Per Diem</t>
  </si>
  <si>
    <t>Subtotal Human Resources</t>
  </si>
  <si>
    <t>2.1. International travel</t>
  </si>
  <si>
    <t>Per flight</t>
  </si>
  <si>
    <t xml:space="preserve">2.1.1  one Meeting to customize continental UIP guidelines for Africa </t>
  </si>
  <si>
    <t>2.1.2   One meeting with UIP to define and specify services</t>
  </si>
  <si>
    <t>2.1.3  Participation to 2 Users meetings every 2 years by 2 staff of the action for services delivery and feedback collection at the UIP</t>
  </si>
  <si>
    <t>2.1.4   Organization or participation to RCOFs ( 5participants*4foras*4 yearss) with 5 participants from ACMAD and continental UIP</t>
  </si>
  <si>
    <t>2.1.5 Trainings of 2 ACMAD staffs every year by JRC, Copernicus or other Global centres for 4 years</t>
  </si>
  <si>
    <t>2.1.6  Training of 2 ACMAD staffs every year at EUMETSAT or other Centre</t>
  </si>
  <si>
    <t xml:space="preserve">2.1.8   Participation to Global DRR for a and Global Health and climate events once every 2 years </t>
  </si>
  <si>
    <t>2.1.9 On the job training, internship</t>
  </si>
  <si>
    <t>per flight</t>
  </si>
  <si>
    <t>2.1.10 Staff on recruitment, vacation, at end of contract, on  secondment or fellowships …</t>
  </si>
  <si>
    <t>per fligth</t>
  </si>
  <si>
    <t>2.2. International travel for mission</t>
  </si>
  <si>
    <t xml:space="preserve">2.2.1 International travel for kick-off end of project, steering, coordination meetings </t>
  </si>
  <si>
    <t>2.2.1.1 Members (15) to participate PSC meetings held for 3 meeting days and two travel days per year for five years</t>
  </si>
  <si>
    <t>2.2.1.2 Technical coordination meetings with RCCs, JRC, EUMETSAT and other centres one every two years</t>
  </si>
  <si>
    <t>2.2.1.3 Kick-off and end of project meetings for 20 participants (One day of kick-off and one day for end of meeting and two travel days for each event)</t>
  </si>
  <si>
    <t>2.2.2 International travel for mission (Visa + Terminal expenses )</t>
  </si>
  <si>
    <t>2.3 Other nternational travel of Staff Project</t>
  </si>
  <si>
    <t>Per staff or  family member</t>
  </si>
  <si>
    <t>Subtotal Travel</t>
  </si>
  <si>
    <t>Per vekicle</t>
  </si>
  <si>
    <t>Per vehicle</t>
  </si>
  <si>
    <t>3.2 Furniture, computer equipment</t>
  </si>
  <si>
    <t xml:space="preserve">   3.2.1 Desktop/Laptop/tablet and data server</t>
  </si>
  <si>
    <t>Per Desktop/laptop/server</t>
  </si>
  <si>
    <t>Per Desk/laptop</t>
  </si>
  <si>
    <t xml:space="preserve">   3.2.2 Printer (for PM, SAF, Experts) black/white and color</t>
  </si>
  <si>
    <t>Per printer</t>
  </si>
  <si>
    <t xml:space="preserve"> printer</t>
  </si>
  <si>
    <t xml:space="preserve">   3.2.3 Photocopier</t>
  </si>
  <si>
    <t>Per photocopier</t>
  </si>
  <si>
    <t xml:space="preserve">   3.2.4 Projector</t>
  </si>
  <si>
    <t>Per Projector</t>
  </si>
  <si>
    <t>Per projector</t>
  </si>
  <si>
    <t xml:space="preserve">   3.2.5 External disks</t>
  </si>
  <si>
    <t xml:space="preserve"> disks</t>
  </si>
  <si>
    <t xml:space="preserve">disks </t>
  </si>
  <si>
    <t xml:space="preserve">   3.2.6 Filing cabinet</t>
  </si>
  <si>
    <t>Per cabinet</t>
  </si>
  <si>
    <t xml:space="preserve">   3.2.7  Room chairs</t>
  </si>
  <si>
    <t>Per chair</t>
  </si>
  <si>
    <t xml:space="preserve">   3.2.8 Anti-virus , other licences, web hosting costs</t>
  </si>
  <si>
    <t xml:space="preserve">   3.2.9 Audio-visual materials ( photo, video camera, stand accessories) </t>
  </si>
  <si>
    <t xml:space="preserve">3.2.10 Air conditioner/split </t>
  </si>
  <si>
    <t>per split</t>
  </si>
  <si>
    <t>3.2.11  Power supply, batteries and spare parts</t>
  </si>
  <si>
    <t>3.3 Other (please specify)</t>
  </si>
  <si>
    <t>Subtotal Equipment and supplies</t>
  </si>
  <si>
    <t>4. Local office</t>
  </si>
  <si>
    <t>4.1 Power Generator costs</t>
  </si>
  <si>
    <t>Per year</t>
  </si>
  <si>
    <t>4.1.2 Oil, gaz</t>
  </si>
  <si>
    <t>4.2 Office rent</t>
  </si>
  <si>
    <t>4.3  Consumables - Office Supplies</t>
  </si>
  <si>
    <t xml:space="preserve">4.4.1 Services </t>
  </si>
  <si>
    <t>Subtotal Local office</t>
  </si>
  <si>
    <t>5.2.1  On the job traning, internship subsistance cost</t>
  </si>
  <si>
    <t>month</t>
  </si>
  <si>
    <t>5.2.2  Staff on secondment, fellowship subisitance cost</t>
  </si>
  <si>
    <t xml:space="preserve"> 5.2.3 Monitoring and evaluation system, communication strategy planning  and related training services</t>
  </si>
  <si>
    <t>week</t>
  </si>
  <si>
    <t>5.2.4 Accounting sofware  and performance management tools configuration, update and training</t>
  </si>
  <si>
    <t>day</t>
  </si>
  <si>
    <t>5.2.6 IT/GIS training service</t>
  </si>
  <si>
    <t>5.3 Expenditure verification/Audit</t>
  </si>
  <si>
    <t xml:space="preserve">   5.3.1 'Expenditure Verifications (audit ) </t>
  </si>
  <si>
    <t>Per audit</t>
  </si>
  <si>
    <t>5.4 Evaluation costs</t>
  </si>
  <si>
    <t>5.5 Translation, interpreters</t>
  </si>
  <si>
    <t xml:space="preserve">5.5.1 Translation of documents 2 languages for 500 pages per year))  </t>
  </si>
  <si>
    <t>per page</t>
  </si>
  <si>
    <t xml:space="preserve">per page </t>
  </si>
  <si>
    <t>5.5.2 Interpreters (2) for meetings, seminars and workshops 10 days pr year for 4 years</t>
  </si>
  <si>
    <t>per day</t>
  </si>
  <si>
    <t>5.6 Financial services (bank guarantee costs etc.)</t>
  </si>
  <si>
    <t>5.6.1 Financial services (bank guarantee costs etc.)</t>
  </si>
  <si>
    <t>5.6.2 Financial services ( bank charges , Commission and charges for Transfer etc.)</t>
  </si>
  <si>
    <t>5.7.1    Meetings to customize continental UIP guidelines and define services,  RCOFs, UNFCCC, IPCC, Global DRR and health events, kick off and end of project meeting, steering and coordination meetings ( cost include rent of rooms, interpretation equipments, booths….)</t>
  </si>
  <si>
    <t>per event</t>
  </si>
  <si>
    <t>5.8.1 Production and distribution of publicity and visibility  material such as annual reports, usb sticks, posters and banners</t>
  </si>
  <si>
    <t>5.8.2  materials for advocacy, exhibition,  side events during major conferences such as COPs and other meetings</t>
  </si>
  <si>
    <t>6. Other</t>
  </si>
  <si>
    <t>6.1 Other costs of recruitment</t>
  </si>
  <si>
    <t>Per contract</t>
  </si>
  <si>
    <t>6.1.1 Other costs of recruitment ( external recruitment services or expertise in recruitment committees cost, comunication cost between committee members, vacancy notice preparation and/or publication cost, organization of recruitment committee meetings and recruitment report costs…..)</t>
  </si>
  <si>
    <t>Subtotal Other</t>
  </si>
  <si>
    <t>7.  Subtotal direct eligible costs of the Action (1-6)</t>
  </si>
  <si>
    <t>8. Provision for contingency reserve (maximum 4% of  7, subtotal of direct eligible costs of the Action)</t>
  </si>
  <si>
    <t>9. Total direct eligible costs of the Action (7+ 8)</t>
  </si>
  <si>
    <t>10.   Indirect costs (maximum 5% of  9, total direct eligible costs of the Action)</t>
  </si>
  <si>
    <t xml:space="preserve">11. Total eligible costs (9+10) </t>
  </si>
  <si>
    <t>1. The description of items must be sufficiently detailed and all items broken down into their main components. The number of units and the unit value must be specified for each item depending on the indications provided.</t>
  </si>
  <si>
    <t>2. This section must be completed if the Action is to be implemented over more than one reporting period (usually 12 months).</t>
  </si>
  <si>
    <t>3. If the Contracting Authority is not the European Commission, the budget may be established in euro or in the currency of the country of the Contracting Authority. Costs and unit values are rounded to the nearest euro cent.</t>
  </si>
  <si>
    <t>4. If staff are not working full time on the Action, the percentage should be indicated alongside the description of the item and reflected in the number of units (not the unit value).</t>
  </si>
  <si>
    <t>5. Indicate the country where the per diems are incurred and the applicable rates (in any case the final eligible cost may not exceed the scales published by the E.C. at the time of such mission). If information is not available, enter a global amount. Per diems cover accommodation, meals and local travel within the place of the mission and sundry expenses.
Per diems are not considered a simplified cost option for the purposes of Union financing when the Grant Beneficiary reimburses a fixed amount to its staff according to its staff rules and asks for the reimbursement of that same amount in the action budget. That is an actual cost. Otherwise, if the Beneficiary proposes a reimbursement on the basis of simplified costs option (for instance a  "unit cost"), it must specify "UNIT COST per diem" in the "unit value" column.</t>
  </si>
  <si>
    <t>6. Costs for C02 offsetting of air travel may be included. C02 offsetting shall in that case be achieved by supporting CDM/Gold Standard projects (evidence must be included as part of the supporting documents) or through airplane company programmes when available.  Indicate the place of departure and the destination. If information is not available, enter a global amount.</t>
  </si>
  <si>
    <t>7. Please separate cost for purchase or rental.</t>
  </si>
  <si>
    <t>8. Specify the typology of costs or services. Global amounts will not be accepted.</t>
  </si>
  <si>
    <t>9. Only indicate here when fully subcontracted.</t>
  </si>
  <si>
    <t xml:space="preserve">10. Communication and visibility activities should be properly planned and budgeted at each stage of the project implementation. </t>
  </si>
  <si>
    <t>11. Only to be filled in when provided for in the Call for Proposal (i.e. taxes are not eligible and the beneficiary(ies) can show they cannot reclaim them). Please see glossary of terms (Annex A 1) of the Practical Guide to contract procedures for EU external actions for the definition of taxes. Please note that direct taxes are not included (such as taxes on salary of staff working for the action which are part of the gross salary). Note: Where the Call for Proposal does not exclude the coverage of taxes and the beneficiary can show it cannot reclaim, taxes will be eligible and should be included in each relevant heading. Taxes that can be reclaimed are not considered as eligible nor accepted costs.</t>
  </si>
  <si>
    <t>12. Only to be filled in when contributions in kind as may be accepted as co-financing. The amount indicated must be identical to the one indicated in worksheet 3 "expected sources of funding"</t>
  </si>
  <si>
    <t>13.  Use "UNIT COST per flight/month/kit etc…" or "LUMPSUM" or "FLAT RATE" in case of simplified cost options. Use different lines for each type of simplified cost options and per beneficiary. In worksheet 2, the methods used to determine and calculate them must be clearly described and substantiated and the Beneficiary proposing and using them must be univocally identified. (for more guidance see Annex K - Guidelines-Checklist for simplified cost options).</t>
  </si>
  <si>
    <t>NB: The Beneficiary(ies) alone are responsible for the correctness of the financial information provided in these tables.</t>
  </si>
  <si>
    <t>Total Costs</t>
  </si>
  <si>
    <t>Expenditure rate without provision for contingency</t>
  </si>
  <si>
    <t>Expenditure rate with provision for contingency and indirect costs</t>
  </si>
  <si>
    <t>Human Ressources</t>
  </si>
  <si>
    <t>Per diems for missions, Seminar / Conference participants</t>
  </si>
  <si>
    <t>Subtotal Human Ressources</t>
  </si>
  <si>
    <t>International travel for Missions, Seminar / Conference participants + Visa + Terminalexpensives</t>
  </si>
  <si>
    <t xml:space="preserve">International travel for Missions for recruit Project Staff </t>
  </si>
  <si>
    <t>Subtotal Other costs, services</t>
  </si>
  <si>
    <t xml:space="preserve">Subtotal Other </t>
  </si>
  <si>
    <t xml:space="preserve">Subtotal direct eligible costs of the action </t>
  </si>
  <si>
    <t>Total eligible costs</t>
  </si>
  <si>
    <r>
      <rPr>
        <sz val="10"/>
        <color theme="1"/>
        <rFont val="Arial"/>
      </rPr>
      <t xml:space="preserve">                                                                                 </t>
    </r>
    <r>
      <rPr>
        <b/>
        <sz val="10"/>
        <color rgb="FF000000"/>
        <rFont val="Arial"/>
      </rPr>
      <t>Output 3:  Improved ACCESS TO DATA, PRODUCTS AND SERVICES</t>
    </r>
  </si>
  <si>
    <r>
      <rPr>
        <b/>
        <sz val="10"/>
        <color theme="1"/>
        <rFont val="Arial"/>
      </rPr>
      <t xml:space="preserve">Activity 3.4 Operationalize </t>
    </r>
    <r>
      <rPr>
        <sz val="10"/>
        <color rgb="FF000000"/>
        <rFont val="Arial"/>
      </rPr>
      <t>RCCs</t>
    </r>
    <r>
      <rPr>
        <b/>
        <sz val="10"/>
        <color rgb="FF000000"/>
        <rFont val="Arial"/>
      </rPr>
      <t xml:space="preserve"> access to existing climate information produced at national level through NMHSs, including data rescue (recovery and digitalisation).</t>
    </r>
  </si>
  <si>
    <r>
      <rPr>
        <b/>
        <sz val="10"/>
        <color theme="1"/>
        <rFont val="Arial"/>
      </rPr>
      <t xml:space="preserve">Activity 3.5 Operationalize </t>
    </r>
    <r>
      <rPr>
        <sz val="10"/>
        <color rgb="FF000000"/>
        <rFont val="Arial"/>
      </rPr>
      <t>RCCs</t>
    </r>
    <r>
      <rPr>
        <b/>
        <sz val="10"/>
        <color rgb="FF000000"/>
        <rFont val="Arial"/>
      </rPr>
      <t xml:space="preserve"> access to existing climate information produced at national level through NMHSs, including data rescue (recovery and digitalisation).</t>
    </r>
  </si>
  <si>
    <r>
      <rPr>
        <b/>
        <sz val="10"/>
        <color theme="1"/>
        <rFont val="Arial"/>
      </rPr>
      <t>Activity 5.3. Bring added-value to climate services through integration of socio-economic elements,</t>
    </r>
    <r>
      <rPr>
        <sz val="10"/>
        <color rgb="FF000000"/>
        <rFont val="Arial"/>
      </rPr>
      <t xml:space="preserve"> </t>
    </r>
    <r>
      <rPr>
        <b/>
        <sz val="10"/>
        <color rgb="FF000000"/>
        <rFont val="Arial"/>
      </rPr>
      <t xml:space="preserve">analytical components and visualization tools. </t>
    </r>
  </si>
  <si>
    <r>
      <rPr>
        <b/>
        <sz val="9"/>
        <color theme="1"/>
        <rFont val="Arial"/>
      </rPr>
      <t xml:space="preserve"> 1. Budget for the Action</t>
    </r>
    <r>
      <rPr>
        <b/>
        <vertAlign val="superscript"/>
        <sz val="9"/>
        <color theme="1"/>
        <rFont val="Arial"/>
      </rPr>
      <t>1</t>
    </r>
  </si>
  <si>
    <r>
      <rPr>
        <b/>
        <sz val="10"/>
        <color theme="1"/>
        <rFont val="Arial"/>
      </rPr>
      <t>Year 1</t>
    </r>
    <r>
      <rPr>
        <b/>
        <vertAlign val="superscript"/>
        <sz val="10"/>
        <color theme="1"/>
        <rFont val="Arial"/>
      </rPr>
      <t>2</t>
    </r>
  </si>
  <si>
    <t>Execution Quarter 1                      (March-May 2021)</t>
  </si>
  <si>
    <t>Execution Quarter 2                      (June-August 2021)</t>
  </si>
  <si>
    <r>
      <rPr>
        <b/>
        <sz val="9"/>
        <color theme="1"/>
        <rFont val="Arial"/>
      </rPr>
      <t xml:space="preserve">Unit </t>
    </r>
    <r>
      <rPr>
        <b/>
        <vertAlign val="superscript"/>
        <sz val="9"/>
        <color theme="1"/>
        <rFont val="Arial"/>
      </rPr>
      <t>13</t>
    </r>
  </si>
  <si>
    <r>
      <rPr>
        <b/>
        <sz val="9"/>
        <color theme="1"/>
        <rFont val="Arial"/>
      </rPr>
      <t>Total Cost
(in EUR)</t>
    </r>
    <r>
      <rPr>
        <b/>
        <vertAlign val="superscript"/>
        <sz val="9"/>
        <color theme="1"/>
        <rFont val="Arial"/>
      </rPr>
      <t>3</t>
    </r>
  </si>
  <si>
    <r>
      <rPr>
        <b/>
        <sz val="9"/>
        <color theme="1"/>
        <rFont val="Arial"/>
      </rPr>
      <t>Total Cost
(in EUR)</t>
    </r>
    <r>
      <rPr>
        <b/>
        <vertAlign val="superscript"/>
        <sz val="9"/>
        <color theme="1"/>
        <rFont val="Arial"/>
      </rPr>
      <t>3</t>
    </r>
  </si>
  <si>
    <r>
      <rPr>
        <b/>
        <sz val="9"/>
        <color theme="1"/>
        <rFont val="Arial"/>
      </rPr>
      <t>Total Cost
(in EUR)</t>
    </r>
    <r>
      <rPr>
        <b/>
        <vertAlign val="superscript"/>
        <sz val="9"/>
        <color theme="1"/>
        <rFont val="Arial"/>
      </rPr>
      <t>3</t>
    </r>
  </si>
  <si>
    <r>
      <rPr>
        <b/>
        <sz val="9"/>
        <color theme="1"/>
        <rFont val="Arial"/>
      </rPr>
      <t>1.1 Salaries (gross salaries including social security charges and other related costs, local staff)</t>
    </r>
    <r>
      <rPr>
        <b/>
        <vertAlign val="superscript"/>
        <sz val="9"/>
        <color theme="1"/>
        <rFont val="Arial"/>
      </rPr>
      <t>4</t>
    </r>
  </si>
  <si>
    <t>commentaires</t>
  </si>
  <si>
    <t xml:space="preserve">    1.1.5 Support - Human resource  expert </t>
  </si>
  <si>
    <t xml:space="preserve">    1.1.4 Support- Short Term expertise</t>
  </si>
  <si>
    <t>16% of time for D2 cost 20% for P5</t>
  </si>
  <si>
    <t xml:space="preserve">   1.2..3 Technical -  Thematic Expert Climate Change scientist)</t>
  </si>
  <si>
    <t xml:space="preserve">   1.2.8 Technical - Database/IT  Expert</t>
  </si>
  <si>
    <t xml:space="preserve">   1.2.9 Technical - Communications Expert </t>
  </si>
  <si>
    <t xml:space="preserve">   1.2.10 Technical -Short Term Experts </t>
  </si>
  <si>
    <r>
      <rPr>
        <b/>
        <sz val="9"/>
        <color theme="1"/>
        <rFont val="Arial"/>
      </rPr>
      <t>1.3 Per diems for missions/travel</t>
    </r>
    <r>
      <rPr>
        <b/>
        <vertAlign val="superscript"/>
        <sz val="9"/>
        <color theme="1"/>
        <rFont val="Arial"/>
      </rPr>
      <t>5</t>
    </r>
  </si>
  <si>
    <r>
      <rPr>
        <b/>
        <sz val="9"/>
        <color theme="1"/>
        <rFont val="Arial"/>
      </rPr>
      <t>2. Travel</t>
    </r>
    <r>
      <rPr>
        <b/>
        <vertAlign val="superscript"/>
        <sz val="9"/>
        <color theme="1"/>
        <rFont val="Arial"/>
      </rPr>
      <t>6</t>
    </r>
  </si>
  <si>
    <t>2.1.1.3 Kick-off and end of project meetings for 20 participants (One day of kick-off and one day for end of meeting and two travel days for each event)</t>
  </si>
  <si>
    <r>
      <rPr>
        <b/>
        <sz val="9"/>
        <color theme="1"/>
        <rFont val="Arial"/>
      </rPr>
      <t>3. Equipment and supplies</t>
    </r>
    <r>
      <rPr>
        <b/>
        <vertAlign val="superscript"/>
        <sz val="9"/>
        <color theme="1"/>
        <rFont val="Arial"/>
      </rPr>
      <t>7</t>
    </r>
  </si>
  <si>
    <t xml:space="preserve">   3.2.4 Printer (for PM, SAF, Experts) black/white and color</t>
  </si>
  <si>
    <t xml:space="preserve">   3.2.5 Photocopier</t>
  </si>
  <si>
    <t xml:space="preserve">   3.2.6 Projector</t>
  </si>
  <si>
    <t xml:space="preserve">   3.2.7 External disks</t>
  </si>
  <si>
    <t xml:space="preserve">   3.2.8 Filing cabinet</t>
  </si>
  <si>
    <t xml:space="preserve">   3.2.9  Room chairs</t>
  </si>
  <si>
    <t xml:space="preserve">   3.2.10 Anti-virus , other licences, web hosting costs</t>
  </si>
  <si>
    <t xml:space="preserve">   3.2.11 Audio-visual materials ( photo, video camera, stand accessories) </t>
  </si>
  <si>
    <t xml:space="preserve">3.2.12 Air conditioner/split </t>
  </si>
  <si>
    <t>3.2.13  Power supply, batteries and spare parts</t>
  </si>
  <si>
    <t>3.5 Other (please specify)</t>
  </si>
  <si>
    <r>
      <rPr>
        <b/>
        <sz val="9"/>
        <color theme="1"/>
        <rFont val="Arial"/>
      </rPr>
      <t>5. Other costs, services</t>
    </r>
    <r>
      <rPr>
        <b/>
        <vertAlign val="superscript"/>
        <sz val="9"/>
        <color theme="1"/>
        <rFont val="Arial"/>
      </rPr>
      <t>8</t>
    </r>
    <r>
      <rPr>
        <b/>
        <sz val="9"/>
        <color theme="1"/>
        <rFont val="Arial"/>
      </rPr>
      <t xml:space="preserve"> (</t>
    </r>
    <r>
      <rPr>
        <sz val="9"/>
        <color theme="1"/>
        <rFont val="Arial"/>
      </rPr>
      <t>any sub contracting should be put here</t>
    </r>
    <r>
      <rPr>
        <b/>
        <sz val="9"/>
        <color theme="1"/>
        <rFont val="Arial"/>
      </rPr>
      <t>)</t>
    </r>
  </si>
  <si>
    <r>
      <rPr>
        <sz val="9"/>
        <color theme="1"/>
        <rFont val="Arial"/>
      </rPr>
      <t>5.1 Publications</t>
    </r>
    <r>
      <rPr>
        <vertAlign val="superscript"/>
        <sz val="9"/>
        <color theme="1"/>
        <rFont val="Arial"/>
      </rPr>
      <t>9</t>
    </r>
  </si>
  <si>
    <r>
      <rPr>
        <b/>
        <sz val="9"/>
        <color theme="1"/>
        <rFont val="Arial"/>
      </rPr>
      <t>5.2 Studies, training research</t>
    </r>
    <r>
      <rPr>
        <b/>
        <vertAlign val="superscript"/>
        <sz val="9"/>
        <color theme="1"/>
        <rFont val="Arial"/>
      </rPr>
      <t>9</t>
    </r>
  </si>
  <si>
    <r>
      <rPr>
        <b/>
        <sz val="9"/>
        <color theme="1"/>
        <rFont val="Arial"/>
      </rPr>
      <t>5.7 Costs of conferences/seminars</t>
    </r>
    <r>
      <rPr>
        <b/>
        <vertAlign val="superscript"/>
        <sz val="9"/>
        <color theme="1"/>
        <rFont val="Arial"/>
      </rPr>
      <t>9</t>
    </r>
  </si>
  <si>
    <r>
      <rPr>
        <b/>
        <sz val="9"/>
        <color theme="1"/>
        <rFont val="Arial"/>
      </rPr>
      <t>5.8. Visibility actions</t>
    </r>
    <r>
      <rPr>
        <b/>
        <vertAlign val="superscript"/>
        <sz val="9"/>
        <color theme="1"/>
        <rFont val="Arial"/>
      </rPr>
      <t>10</t>
    </r>
  </si>
  <si>
    <r>
      <rPr>
        <b/>
        <i/>
        <sz val="9"/>
        <color theme="1"/>
        <rFont val="Arial"/>
      </rPr>
      <t xml:space="preserve">Subtotal Other costs, </t>
    </r>
    <r>
      <rPr>
        <b/>
        <i/>
        <u/>
        <sz val="9"/>
        <color theme="1"/>
        <rFont val="Arial"/>
      </rPr>
      <t>services</t>
    </r>
  </si>
  <si>
    <r>
      <rPr>
        <sz val="9"/>
        <color theme="1"/>
        <rFont val="Arial"/>
      </rPr>
      <t xml:space="preserve">12. - Taxes </t>
    </r>
    <r>
      <rPr>
        <vertAlign val="superscript"/>
        <sz val="9"/>
        <color theme="1"/>
        <rFont val="Arial"/>
      </rPr>
      <t xml:space="preserve">11
</t>
    </r>
    <r>
      <rPr>
        <sz val="9"/>
        <color theme="1"/>
        <rFont val="Arial"/>
      </rPr>
      <t xml:space="preserve">      - Contributions in kind </t>
    </r>
    <r>
      <rPr>
        <vertAlign val="superscript"/>
        <sz val="9"/>
        <color theme="1"/>
        <rFont val="Arial"/>
      </rPr>
      <t>12</t>
    </r>
  </si>
  <si>
    <r>
      <rPr>
        <b/>
        <sz val="9"/>
        <color theme="1"/>
        <rFont val="Arial"/>
      </rPr>
      <t>13. Total accepted</t>
    </r>
    <r>
      <rPr>
        <b/>
        <vertAlign val="superscript"/>
        <sz val="9"/>
        <color theme="1"/>
        <rFont val="Arial"/>
      </rPr>
      <t xml:space="preserve">11 </t>
    </r>
    <r>
      <rPr>
        <b/>
        <sz val="9"/>
        <color theme="1"/>
        <rFont val="Arial"/>
      </rPr>
      <t>costs of the Action (11+12)</t>
    </r>
  </si>
  <si>
    <t>RECEIPT AND EXPENDITURE STATEMENT</t>
  </si>
  <si>
    <t>AUC-INTRA-ACP CLIMATE SERVICES AND RELATED APPLICATIONS PROGRAMME</t>
  </si>
  <si>
    <t>FOR THE PERIOD: March 2021-March 2022</t>
  </si>
  <si>
    <t>Organisation name: ACMAD, Niamey, Niger</t>
  </si>
  <si>
    <t>I-</t>
  </si>
  <si>
    <t>RECEIPT</t>
  </si>
  <si>
    <t>AMOUNT (Euros)</t>
  </si>
  <si>
    <t>Funds received from the AUC</t>
  </si>
  <si>
    <t>Net other Receipts</t>
  </si>
  <si>
    <t>Interest earned</t>
  </si>
  <si>
    <t>Exchange gain</t>
  </si>
  <si>
    <t>Exchange loss</t>
  </si>
  <si>
    <t>Net gain/loss</t>
  </si>
  <si>
    <t>SUBTOTAL RECEIPT</t>
  </si>
  <si>
    <t>II-</t>
  </si>
  <si>
    <t>PROGRAMME EXPENDITURE</t>
  </si>
  <si>
    <t>1.</t>
  </si>
  <si>
    <t>Human Resources</t>
  </si>
  <si>
    <t>2.</t>
  </si>
  <si>
    <t>Travel</t>
  </si>
  <si>
    <t>3.</t>
  </si>
  <si>
    <t>Equipment and supplies</t>
  </si>
  <si>
    <t>4.</t>
  </si>
  <si>
    <t>Local office</t>
  </si>
  <si>
    <t>5.</t>
  </si>
  <si>
    <t>Other costs, services</t>
  </si>
  <si>
    <t>6.</t>
  </si>
  <si>
    <t>Other</t>
  </si>
  <si>
    <t>7.</t>
  </si>
  <si>
    <t xml:space="preserve"> Provision for contingency reserve</t>
  </si>
  <si>
    <t>8.</t>
  </si>
  <si>
    <t>Indirect costs</t>
  </si>
  <si>
    <t>SUBTOTAL EXPENDITURE</t>
  </si>
  <si>
    <t>NET CASH BOOK BALANCE</t>
  </si>
  <si>
    <t>Prepared by  Mr Gilles Brice ADOUKONOU B.</t>
  </si>
  <si>
    <t>Checked by Mr Lambert TOSSA</t>
  </si>
  <si>
    <t>Finance and Administration Officer</t>
  </si>
  <si>
    <t>Financial Controller</t>
  </si>
  <si>
    <t>FOR THE PERIOD: March 2021-Jan 2022</t>
  </si>
  <si>
    <t>RATE</t>
  </si>
  <si>
    <t>Quarter 1 (March-May)</t>
  </si>
  <si>
    <t>Quarter 2 (June-August 2021)</t>
  </si>
  <si>
    <t>Qurter 3 (Sept-Nov 2021)</t>
  </si>
  <si>
    <t>Dec 2021 &amp; Jan 2022</t>
  </si>
  <si>
    <t>FOR THE PERIOD: March - Dec 2021</t>
  </si>
  <si>
    <t xml:space="preserve">Dec 2021 </t>
  </si>
  <si>
    <t>ANNEE 2014</t>
  </si>
  <si>
    <t>JOURNAL DE BANQUE ACMAD/MESA</t>
  </si>
  <si>
    <t>COMPTE  BOA : ACMAD/MESA XOF 001336780020-26</t>
  </si>
  <si>
    <t>01 NOVEMBRE-31 DECEMBRE 2014</t>
  </si>
  <si>
    <t>Montant (CFA)</t>
  </si>
  <si>
    <t>BOA</t>
  </si>
  <si>
    <t>Frais de compte</t>
  </si>
  <si>
    <t>001/14</t>
  </si>
  <si>
    <t>5-6 Financial services</t>
  </si>
  <si>
    <t>Taxe sur Frais de compte</t>
  </si>
  <si>
    <t xml:space="preserve">ACMAD-MESA  </t>
  </si>
  <si>
    <t>002/14</t>
  </si>
  <si>
    <t>Paiement des frais d'organisation de l'atelier des partenaires MESA, Déc 2014</t>
  </si>
  <si>
    <t>003/14</t>
  </si>
  <si>
    <t>Voir details ci-dessous</t>
  </si>
  <si>
    <t xml:space="preserve">Paiement  salaires de décembre 14 </t>
  </si>
  <si>
    <t>004/14</t>
  </si>
  <si>
    <t>Paiement avance frais de mission, Visa Allemangne au Burkina-Faso</t>
  </si>
  <si>
    <t>005/14</t>
  </si>
  <si>
    <t xml:space="preserve">1-Perdiem-Participation Fora </t>
  </si>
  <si>
    <t>Paiement pour achat de billets d'avion</t>
  </si>
  <si>
    <t>006/14</t>
  </si>
  <si>
    <t>2-Travel-ACMAD Thema SCM and WC</t>
  </si>
  <si>
    <t>007/14</t>
  </si>
  <si>
    <t>008/14</t>
  </si>
  <si>
    <t>Intérêts débiteurs</t>
  </si>
  <si>
    <t>Taxe sur intérêts débiteurs</t>
  </si>
  <si>
    <t>Totaux</t>
  </si>
  <si>
    <t>Le Responsable Administratif &amp; Financier</t>
  </si>
  <si>
    <t>Le Coordonnateur</t>
  </si>
  <si>
    <t>Dr André KAMGA</t>
  </si>
  <si>
    <t>Ventillation des frais d'organisation de l'atelier des partenaires MESA, Déc 2014</t>
  </si>
  <si>
    <t>Justification du chèque N°9062140 de montant 1 005 000 CFA ( Opération N°003/14)</t>
  </si>
  <si>
    <t>3-1 Rent of véhicule</t>
  </si>
  <si>
    <t>5-7 Cost of conference-ACMAD Thema SCM and WC</t>
  </si>
  <si>
    <t xml:space="preserve">Budget </t>
  </si>
  <si>
    <t>Reliquat</t>
  </si>
  <si>
    <t>ETAT DE RECONCILIATION BANCAIRE</t>
  </si>
  <si>
    <t>N°</t>
  </si>
  <si>
    <t>Eléments</t>
  </si>
  <si>
    <t>COMPTE BOA XOF  A ACMAD-MESA</t>
  </si>
  <si>
    <t>BOA XOF</t>
  </si>
  <si>
    <t>1-</t>
  </si>
  <si>
    <t>Solde au 31/12/2014</t>
  </si>
  <si>
    <t>2-</t>
  </si>
  <si>
    <t>Chèque N° 9062141 émis à l'ordre de Mbaiguedem MIAMBAYE  non encore positioné à la BOA</t>
  </si>
  <si>
    <t>3-</t>
  </si>
  <si>
    <t>Chèque N° 9062142 émis à l'ordre de SATGURU Travels  non encore positioné à la BOA</t>
  </si>
  <si>
    <t>4-</t>
  </si>
  <si>
    <t>Chèque N° 9062143 émis à l'ordre de SATGURU Travels  non encore positioné à la BOA</t>
  </si>
  <si>
    <t>5-</t>
  </si>
  <si>
    <t>6-</t>
  </si>
  <si>
    <t>SOLDES RAPPROCHES</t>
  </si>
  <si>
    <t>TOTAUX</t>
  </si>
  <si>
    <t>COMPTE  BOA : ACMAD/MESA € 001336780005-71</t>
  </si>
  <si>
    <t>01 OCTOBRE 2013 - 31 DECEMBRE 2014</t>
  </si>
  <si>
    <t>Montant (€)</t>
  </si>
  <si>
    <t>Frais de tenue de compte</t>
  </si>
  <si>
    <t>001/14/Eu</t>
  </si>
  <si>
    <t>Taxe sur frais de tenue de compte</t>
  </si>
  <si>
    <t>EDF</t>
  </si>
  <si>
    <t>Premier transfert reçu du FED</t>
  </si>
  <si>
    <t>002/14/Eu</t>
  </si>
  <si>
    <t>Transfert</t>
  </si>
  <si>
    <t>Bachir Elh Garba Dan BOUZOUA</t>
  </si>
  <si>
    <t>Mise à disposition de fonds pour l'organisation de l'atelier MESA à Addis Ababa, 26-28 Nov 2014</t>
  </si>
  <si>
    <t>003/14/Eu</t>
  </si>
  <si>
    <t>5-7 Cost of conference-ACMAD Thema SCM and WC (720-690=30 €)</t>
  </si>
  <si>
    <t>Paiement salaire du 10 au 30 nov 2014</t>
  </si>
  <si>
    <t>004/14/Eu</t>
  </si>
  <si>
    <t>Paiement salaire du 05 au 30 nov 2014</t>
  </si>
  <si>
    <t>005/14/Eu</t>
  </si>
  <si>
    <t>1-Finance and Admin Officer (ACMAD)</t>
  </si>
  <si>
    <t>Reversement par Bachir- Reliquat Atelier MESA</t>
  </si>
  <si>
    <t>006/14/Eu</t>
  </si>
  <si>
    <t>007/14/Eu</t>
  </si>
  <si>
    <t>Mise à disposition de fonds pour l'organisation de l'atelier MESA à Niamey, Déc 2014</t>
  </si>
  <si>
    <t>008/14/Eu</t>
  </si>
  <si>
    <t>1-Perdiem-ACMAD Thema SCM and WC (6300-3375 = 2 925 €)</t>
  </si>
  <si>
    <t>Reversement par Bachir- Reliquat Atelier de Niamey</t>
  </si>
  <si>
    <t>009/14/Eu</t>
  </si>
  <si>
    <t>ACMAD-MESA  PROJECT</t>
  </si>
  <si>
    <t>Forecast Budget &amp; follow-up summary Oct 2014 -May 2015</t>
  </si>
  <si>
    <t>BUDGET YEAR 1</t>
  </si>
  <si>
    <t>EXPENDITURS 2014                              (Oct-dec 2014)</t>
  </si>
  <si>
    <t>EXPENDITURES                       'Janv 2015</t>
  </si>
  <si>
    <t>EXPENDITURES                     'Fév 2015</t>
  </si>
  <si>
    <t>EXPENDITURES                  'Mars 2015</t>
  </si>
  <si>
    <t>EXPENDITURES                            'Avril 2015</t>
  </si>
  <si>
    <t>EXPENDITURES                      'Mai 2015</t>
  </si>
  <si>
    <t>Juin 2015</t>
  </si>
  <si>
    <t>Juillet 2015</t>
  </si>
  <si>
    <t>Août 2015</t>
  </si>
  <si>
    <t>Sept 2015</t>
  </si>
  <si>
    <t>Oct 2015</t>
  </si>
  <si>
    <t>Nov 2015</t>
  </si>
  <si>
    <t>Dec 2015</t>
  </si>
  <si>
    <t>TOTAL EXPENDITURES (OCT 2014-MAY 2015)</t>
  </si>
  <si>
    <t>BALANCE (Euro)</t>
  </si>
  <si>
    <t>EXECUTION RATE</t>
  </si>
  <si>
    <t>CFA en Euro</t>
  </si>
  <si>
    <t xml:space="preserve">S/Total </t>
  </si>
  <si>
    <t>1.1 Salaries</t>
  </si>
  <si>
    <t xml:space="preserve">   1.1.1 Technical</t>
  </si>
  <si>
    <t>Senior Thematic Expert (ACMAD) - service 1</t>
  </si>
  <si>
    <t>Senior Thematic Expert (ACMAD) - service 2</t>
  </si>
  <si>
    <t>System Engineer (ACMAD)</t>
  </si>
  <si>
    <t>Software Engineer + GIS Expert (ACMAD)</t>
  </si>
  <si>
    <t>Partner - Université de Dakar - STE</t>
  </si>
  <si>
    <t>Partner - University of Nairobi - STE</t>
  </si>
  <si>
    <t>Partner - SADC-CSC/BDMS (RCC) - STE</t>
  </si>
  <si>
    <t>Partner - AGRHYMET-RCC - STE</t>
  </si>
  <si>
    <t>Partner - ICPAC - STE</t>
  </si>
  <si>
    <t>Service Development - STE ACMAD/ others Centers</t>
  </si>
  <si>
    <t xml:space="preserve">   1.1.2 Administrative/ support staff</t>
  </si>
  <si>
    <t>Project Manager (ACMAD)</t>
  </si>
  <si>
    <t>Finance and Admin Officer (ACMAD)</t>
  </si>
  <si>
    <t>Communication officer  (ACMAD)</t>
  </si>
  <si>
    <t>Support staff (Project Assistant, HR, driver, logistic officer, secretary ACMAD)</t>
  </si>
  <si>
    <t>1.2 Salaries expat/int. Staff or Abroad (staff assigned to the Action)</t>
  </si>
  <si>
    <t>STE</t>
  </si>
  <si>
    <t>Per day</t>
  </si>
  <si>
    <r>
      <rPr>
        <b/>
        <sz val="10"/>
        <color theme="1"/>
        <rFont val="Arial Narrow"/>
      </rPr>
      <t>1.3 Per diems for missions/travel</t>
    </r>
    <r>
      <rPr>
        <b/>
        <vertAlign val="superscript"/>
        <sz val="10"/>
        <color theme="1"/>
        <rFont val="Arial Narrow"/>
      </rPr>
      <t>5</t>
    </r>
  </si>
  <si>
    <t xml:space="preserve">   1.3.1 Abroad (Additional support for key areas)</t>
  </si>
  <si>
    <t>Installation of Rx</t>
  </si>
  <si>
    <t>Policy Makers Sentization</t>
  </si>
  <si>
    <t>Ad-Hoc &amp; On-the-job-training</t>
  </si>
  <si>
    <t>Participation Fora (conferences, seminaires, etc)</t>
  </si>
  <si>
    <t xml:space="preserve">   1.3.3 Seminar/conference participants</t>
  </si>
  <si>
    <t>Kick off Workshop + End of the project</t>
  </si>
  <si>
    <t>2 Cont. Training Workshops by ACMAD</t>
  </si>
  <si>
    <t>2 Reg. Training Workshops by AGRHYMET-RCC</t>
  </si>
  <si>
    <t>2 Reg. Training Workshops by ICPAC</t>
  </si>
  <si>
    <t>2 Reg. Training Workshops by SADC-CSC/BDMS</t>
  </si>
  <si>
    <t>STE - Workshop facilitator</t>
  </si>
  <si>
    <t>ACMAD Thema Steering and working committee</t>
  </si>
  <si>
    <r>
      <rPr>
        <b/>
        <sz val="10"/>
        <color theme="1"/>
        <rFont val="Arial Narrow"/>
      </rPr>
      <t>2. Travel</t>
    </r>
    <r>
      <rPr>
        <b/>
        <vertAlign val="superscript"/>
        <sz val="10"/>
        <color theme="1"/>
        <rFont val="Arial Narrow"/>
      </rPr>
      <t>6</t>
    </r>
  </si>
  <si>
    <t xml:space="preserve">2 Reg. Training Workshops by AGRHYMET-RCC </t>
  </si>
  <si>
    <t xml:space="preserve">2.2 Local transportation </t>
  </si>
  <si>
    <r>
      <rPr>
        <b/>
        <sz val="10"/>
        <color theme="1"/>
        <rFont val="Arial Narrow"/>
      </rPr>
      <t>3. Equipment and supplies</t>
    </r>
    <r>
      <rPr>
        <b/>
        <vertAlign val="superscript"/>
        <sz val="10"/>
        <color theme="1"/>
        <rFont val="Arial Narrow"/>
      </rPr>
      <t>7</t>
    </r>
  </si>
  <si>
    <t>3.1 Purchase or rent of vehicles</t>
  </si>
  <si>
    <t>Personal Computers/ Laptops</t>
  </si>
  <si>
    <t>Per Laptop</t>
  </si>
  <si>
    <t>Network / Telecommunications at ACMAD</t>
  </si>
  <si>
    <t>Per Unit</t>
  </si>
  <si>
    <t>Backup and archive system</t>
  </si>
  <si>
    <t>Equipement/ materials (split, scanner, color printer, fax, photocopier..)</t>
  </si>
  <si>
    <t>Power supply (UPS) + Power Genertor</t>
  </si>
  <si>
    <t>Communicantion and reproduction equipment</t>
  </si>
  <si>
    <t>3.3 Machines, tools…</t>
  </si>
  <si>
    <t>3.4 Spare parts/equipment for machines, tools</t>
  </si>
  <si>
    <t>4.1 Vehicle costs ( Maintenance &amp; Insurance)</t>
  </si>
  <si>
    <t>Maintenance, Insurance</t>
  </si>
  <si>
    <t>Petrol</t>
  </si>
  <si>
    <t>4.2 Office Rent</t>
  </si>
  <si>
    <t>4.3 Consumables - office supplies</t>
  </si>
  <si>
    <r>
      <rPr>
        <b/>
        <sz val="10"/>
        <color theme="1"/>
        <rFont val="Arial Narrow"/>
      </rPr>
      <t xml:space="preserve">4.4 Other services </t>
    </r>
    <r>
      <rPr>
        <sz val="10"/>
        <color theme="1"/>
        <rFont val="Arial Narrow"/>
      </rPr>
      <t>(tel/fax, electricity/cooling, maintenance of equipment)</t>
    </r>
  </si>
  <si>
    <r>
      <rPr>
        <b/>
        <sz val="10"/>
        <color theme="1"/>
        <rFont val="Arial Narrow"/>
      </rPr>
      <t>5. Other costs, services</t>
    </r>
    <r>
      <rPr>
        <b/>
        <vertAlign val="superscript"/>
        <sz val="10"/>
        <color theme="1"/>
        <rFont val="Arial Narrow"/>
      </rPr>
      <t>8</t>
    </r>
  </si>
  <si>
    <r>
      <rPr>
        <b/>
        <sz val="10"/>
        <color theme="1"/>
        <rFont val="Arial Narrow"/>
      </rPr>
      <t>5.1 Publications</t>
    </r>
    <r>
      <rPr>
        <b/>
        <vertAlign val="superscript"/>
        <sz val="10"/>
        <color theme="1"/>
        <rFont val="Arial Narrow"/>
      </rPr>
      <t>9</t>
    </r>
  </si>
  <si>
    <r>
      <rPr>
        <b/>
        <sz val="10"/>
        <color theme="1"/>
        <rFont val="Arial Narrow"/>
      </rPr>
      <t>5.2 Studies, research</t>
    </r>
    <r>
      <rPr>
        <b/>
        <vertAlign val="superscript"/>
        <sz val="10"/>
        <color theme="1"/>
        <rFont val="Arial Narrow"/>
      </rPr>
      <t xml:space="preserve">9  </t>
    </r>
  </si>
  <si>
    <t xml:space="preserve">       Internship/secondment</t>
  </si>
  <si>
    <t>per month</t>
  </si>
  <si>
    <t>Per evaluation</t>
  </si>
  <si>
    <t>5.5 Translation, interpreters and equipment</t>
  </si>
  <si>
    <t>Per event/day</t>
  </si>
  <si>
    <t>5.6 Financial services (currency change, tranfer fees, bank services)</t>
  </si>
  <si>
    <r>
      <rPr>
        <sz val="10"/>
        <color theme="1"/>
        <rFont val="Arial Narrow"/>
      </rPr>
      <t>5.7 Costs of conferences/seminars</t>
    </r>
    <r>
      <rPr>
        <vertAlign val="superscript"/>
        <sz val="10"/>
        <color theme="1"/>
        <rFont val="Arial Narrow"/>
      </rPr>
      <t>9</t>
    </r>
  </si>
  <si>
    <t>Per event</t>
  </si>
  <si>
    <t xml:space="preserve">2 Cont. Training workshops by ACMAD </t>
  </si>
  <si>
    <t>2 Reg. Training  workshops by AGRHYMET-RCC</t>
  </si>
  <si>
    <t>2 Reg. Training workshops by ICPAC</t>
  </si>
  <si>
    <t>2 Reg. Training workshops by SADC-CSC/BDMS</t>
  </si>
  <si>
    <r>
      <rPr>
        <b/>
        <sz val="10"/>
        <color theme="1"/>
        <rFont val="Arial Narrow"/>
      </rPr>
      <t>5.8. Visibility actions</t>
    </r>
    <r>
      <rPr>
        <b/>
        <vertAlign val="superscript"/>
        <sz val="10"/>
        <color theme="1"/>
        <rFont val="Arial Narrow"/>
      </rPr>
      <t>10</t>
    </r>
  </si>
  <si>
    <t>Other - Recruitment costs</t>
  </si>
  <si>
    <t>Per recruitment</t>
  </si>
  <si>
    <t>Other - Validation- Climate Change Assessment Service</t>
  </si>
  <si>
    <t>Other - Validation- Drought Service</t>
  </si>
  <si>
    <t>8. Provision for contingency reserve (maximum 5% of  7, subtotal of direct eligible costs of the Action)</t>
  </si>
  <si>
    <t>10.   Indirect costs (maximum 7% of  9, total direct eligible costs of the Action) : maintenance of building, office running costs, casual labour.</t>
  </si>
  <si>
    <r>
      <rPr>
        <b/>
        <sz val="10"/>
        <color theme="1"/>
        <rFont val="Arial Narrow"/>
      </rPr>
      <t>13. Total accepted</t>
    </r>
    <r>
      <rPr>
        <b/>
        <vertAlign val="superscript"/>
        <sz val="10"/>
        <color theme="1"/>
        <rFont val="Arial Narrow"/>
      </rPr>
      <t xml:space="preserve">11 </t>
    </r>
    <r>
      <rPr>
        <b/>
        <sz val="10"/>
        <color theme="1"/>
        <rFont val="Arial Narrow"/>
      </rPr>
      <t>costs of the Action (11+12)</t>
    </r>
  </si>
  <si>
    <t>Contribution ACMAD</t>
  </si>
  <si>
    <t>Contribution EC</t>
  </si>
  <si>
    <t>Statement of cash position as at 31 August 2016</t>
  </si>
  <si>
    <t>Etat de trésorerie au 31 août 2016</t>
  </si>
  <si>
    <t>Period : 01 Oct 2014 - 31 August  2016</t>
  </si>
  <si>
    <t>Amount</t>
  </si>
  <si>
    <t xml:space="preserve">Amount </t>
  </si>
  <si>
    <t xml:space="preserve">Euro </t>
  </si>
  <si>
    <t xml:space="preserve">Local currency </t>
  </si>
  <si>
    <t>(€)</t>
  </si>
  <si>
    <t>(CFA)</t>
  </si>
  <si>
    <t>A</t>
  </si>
  <si>
    <t xml:space="preserve">Opening Fund Balance </t>
  </si>
  <si>
    <t xml:space="preserve">Cash </t>
  </si>
  <si>
    <t>Bank (CFA), Local currency account</t>
  </si>
  <si>
    <t>Bank (Euro), Euro account</t>
  </si>
  <si>
    <t>Sub-Total 1</t>
  </si>
  <si>
    <t>B</t>
  </si>
  <si>
    <t>Advance Received from EDF during the period</t>
  </si>
  <si>
    <t>Sub-Total 2</t>
  </si>
  <si>
    <t>C</t>
  </si>
  <si>
    <t>Total Funds Available(A+B) for the period</t>
  </si>
  <si>
    <t>D</t>
  </si>
  <si>
    <t>Payments/Expenditures during the period :</t>
  </si>
  <si>
    <t>Total Expenditures</t>
  </si>
  <si>
    <t>Sub-Total 3</t>
  </si>
  <si>
    <t>E</t>
  </si>
  <si>
    <t>Closing Fund Balance (C-D)</t>
  </si>
  <si>
    <t>F</t>
  </si>
  <si>
    <t xml:space="preserve">Closing Balance represented by: </t>
  </si>
  <si>
    <t>G</t>
  </si>
  <si>
    <t>Exchange Rate of December</t>
  </si>
  <si>
    <t>NA</t>
  </si>
  <si>
    <t>Revalued Balance (E/F)</t>
  </si>
  <si>
    <t>H</t>
  </si>
  <si>
    <t>Exchange gain/loss (G-E)</t>
  </si>
  <si>
    <t>Calculation/Exchange Gain/Loss( E-F)</t>
  </si>
  <si>
    <t>Contract N°FED/2014/331-704</t>
  </si>
  <si>
    <t>Implementation period of the contract (12/09/2014 - 12/09/2017)</t>
  </si>
  <si>
    <t>Interim financial report:                                   Period : Quarter 6 (01/01/2016-31/03/2016)</t>
  </si>
  <si>
    <t>Budget as per contract/addendum</t>
  </si>
  <si>
    <t xml:space="preserve">Reallocation </t>
  </si>
  <si>
    <t xml:space="preserve">Expenditure incurred </t>
  </si>
  <si>
    <t>Expenditures</t>
  </si>
  <si>
    <t># Units</t>
  </si>
  <si>
    <t>Total Cost
(in EUR)</t>
  </si>
  <si>
    <t>Allowed reallocation (article 9.4 of the GC)</t>
  </si>
  <si>
    <t>Total Cost (Jan-March 16)
(in EUR)</t>
  </si>
  <si>
    <t>Cumulated costs (Sept 14-Dec 15) (in EUR)</t>
  </si>
  <si>
    <t>Cumulated costs (Sept 14-March 2016) (in EUR)</t>
  </si>
  <si>
    <t>(a)</t>
  </si>
  <si>
    <t>(b)</t>
  </si>
  <si>
    <t>(c)=a*b</t>
  </si>
  <si>
    <t>(d)</t>
  </si>
  <si>
    <t>(f)=c+d</t>
  </si>
  <si>
    <r>
      <rPr>
        <sz val="9"/>
        <color theme="1"/>
        <rFont val="Arial"/>
      </rPr>
      <t>1.1 Salaries (gross salaries including social security charges and other related costs, local staff)</t>
    </r>
    <r>
      <rPr>
        <vertAlign val="superscript"/>
        <sz val="9"/>
        <color theme="1"/>
        <rFont val="Arial"/>
      </rPr>
      <t>4</t>
    </r>
  </si>
  <si>
    <t>Service Development - STE ACMAD / others Centers</t>
  </si>
  <si>
    <t>1.2 Salaries (gross salaries including social security charges and other related costs, expat/int. staff)</t>
  </si>
  <si>
    <r>
      <rPr>
        <sz val="9"/>
        <color theme="1"/>
        <rFont val="Arial"/>
      </rPr>
      <t>1.3 Per diems for missions/travel</t>
    </r>
    <r>
      <rPr>
        <vertAlign val="superscript"/>
        <sz val="9"/>
        <color theme="1"/>
        <rFont val="Arial"/>
      </rPr>
      <t>5</t>
    </r>
  </si>
  <si>
    <t>2. Travel</t>
  </si>
  <si>
    <r>
      <rPr>
        <sz val="9"/>
        <color theme="1"/>
        <rFont val="Arial"/>
      </rPr>
      <t>2.2 Local transportation</t>
    </r>
    <r>
      <rPr>
        <b/>
        <sz val="9"/>
        <color theme="1"/>
        <rFont val="Arial"/>
      </rPr>
      <t xml:space="preserve"> </t>
    </r>
  </si>
  <si>
    <t>3. Equipment and supplies</t>
  </si>
  <si>
    <t>Personal Computers / Laptops</t>
  </si>
  <si>
    <t>Power supply</t>
  </si>
  <si>
    <t>4.1 Vehicle costs</t>
  </si>
  <si>
    <t>4.4 Other services (tel/fax, electricity/heating, maintenance)</t>
  </si>
  <si>
    <t>5. Other costs, services</t>
  </si>
  <si>
    <r>
      <rPr>
        <sz val="9"/>
        <color theme="1"/>
        <rFont val="Arial"/>
      </rPr>
      <t>5.1 Publications</t>
    </r>
    <r>
      <rPr>
        <vertAlign val="superscript"/>
        <sz val="9"/>
        <color theme="1"/>
        <rFont val="Arial"/>
      </rPr>
      <t>9</t>
    </r>
  </si>
  <si>
    <r>
      <rPr>
        <sz val="9"/>
        <color theme="1"/>
        <rFont val="Arial"/>
      </rPr>
      <t>5.2 Studies, research</t>
    </r>
    <r>
      <rPr>
        <vertAlign val="superscript"/>
        <sz val="9"/>
        <color theme="1"/>
        <rFont val="Arial"/>
      </rPr>
      <t>9</t>
    </r>
  </si>
  <si>
    <t xml:space="preserve">      Internship/secondment</t>
  </si>
  <si>
    <r>
      <rPr>
        <sz val="9"/>
        <color theme="1"/>
        <rFont val="Arial"/>
      </rPr>
      <t>5.7 Costs of conferences/seminars</t>
    </r>
    <r>
      <rPr>
        <vertAlign val="superscript"/>
        <sz val="9"/>
        <color theme="1"/>
        <rFont val="Arial"/>
      </rPr>
      <t>9</t>
    </r>
  </si>
  <si>
    <r>
      <rPr>
        <sz val="9"/>
        <color theme="1"/>
        <rFont val="Arial"/>
      </rPr>
      <t>5.8. Visibility actions</t>
    </r>
    <r>
      <rPr>
        <vertAlign val="superscript"/>
        <sz val="9"/>
        <color theme="1"/>
        <rFont val="Arial"/>
      </rPr>
      <t>10</t>
    </r>
  </si>
  <si>
    <t xml:space="preserve">7.  Subtotal direct eligible costs of the Action (1-6) </t>
  </si>
  <si>
    <t>9. Total eligible costs of the Action (7+ 8)</t>
  </si>
  <si>
    <r>
      <rPr>
        <sz val="9"/>
        <color theme="1"/>
        <rFont val="Arial"/>
      </rPr>
      <t>10.   Indirect costs (6.9</t>
    </r>
    <r>
      <rPr>
        <sz val="9"/>
        <color rgb="FFFF0000"/>
        <rFont val="Arial"/>
      </rPr>
      <t xml:space="preserve"> </t>
    </r>
    <r>
      <rPr>
        <sz val="9"/>
        <color theme="1"/>
        <rFont val="Arial"/>
      </rPr>
      <t>% of  9, total direct eligible costs of the Action)</t>
    </r>
  </si>
  <si>
    <r>
      <rPr>
        <sz val="9"/>
        <color theme="1"/>
        <rFont val="Arial"/>
      </rPr>
      <t>12. - Taxes</t>
    </r>
    <r>
      <rPr>
        <vertAlign val="superscript"/>
        <sz val="9"/>
        <color theme="1"/>
        <rFont val="Arial"/>
      </rPr>
      <t xml:space="preserve">
</t>
    </r>
    <r>
      <rPr>
        <sz val="9"/>
        <color theme="1"/>
        <rFont val="Arial"/>
      </rPr>
      <t xml:space="preserve">      - Contributions in kind</t>
    </r>
  </si>
  <si>
    <t>13. Total accepted costs of the action (11+12)</t>
  </si>
  <si>
    <t>Note :</t>
  </si>
  <si>
    <t>Les dépenses totales de : 647216,05 Euros comprennent 82 660 Euros représentant les avances décaissées aux partenaires ICPAC et AGRHYMET en nov et déc 2015 restant à justifier : ICAPAC: 37 100 Euros et AGRHYMET 45 560 Euros</t>
  </si>
  <si>
    <t>Après l'autorisation de l'AUC , ACMAD a proposé l'utilisation de la igne ''Provisionfor contingency'' pour assurer les dépenses relatives à l'installation des antennes MESA. La dpense de 792,73 Euros sur la ligne ''Provisionfor contingency'' est la dépense relative à l'étude du sol pour l'installation du socle d'antenne MESA.</t>
  </si>
  <si>
    <t>Interim financial report:                                   Period : Quarter 7 (01/04/2016-30/06/2016)</t>
  </si>
  <si>
    <t>Total Cost (April-June 16)
(in EUR)</t>
  </si>
  <si>
    <t>Cumulated costs (Sept 14-March 16) (in EUR)</t>
  </si>
  <si>
    <t>Cumulated costs (Sept 14-June 2016) (in EUR)</t>
  </si>
  <si>
    <r>
      <rPr>
        <sz val="9"/>
        <color theme="1"/>
        <rFont val="Arial"/>
      </rPr>
      <t>1.1 Salaries (gross salaries including social security charges and other related costs, local staff)</t>
    </r>
    <r>
      <rPr>
        <vertAlign val="superscript"/>
        <sz val="9"/>
        <color theme="1"/>
        <rFont val="Arial"/>
      </rPr>
      <t>4</t>
    </r>
  </si>
  <si>
    <r>
      <rPr>
        <sz val="9"/>
        <color theme="1"/>
        <rFont val="Arial"/>
      </rPr>
      <t>1.3 Per diems for missions/travel</t>
    </r>
    <r>
      <rPr>
        <vertAlign val="superscript"/>
        <sz val="9"/>
        <color theme="1"/>
        <rFont val="Arial"/>
      </rPr>
      <t>5</t>
    </r>
  </si>
  <si>
    <r>
      <rPr>
        <sz val="9"/>
        <color theme="1"/>
        <rFont val="Arial"/>
      </rPr>
      <t>2.2 Local transportation</t>
    </r>
    <r>
      <rPr>
        <b/>
        <sz val="9"/>
        <color theme="1"/>
        <rFont val="Arial"/>
      </rPr>
      <t xml:space="preserve"> </t>
    </r>
  </si>
  <si>
    <r>
      <rPr>
        <sz val="9"/>
        <color theme="1"/>
        <rFont val="Arial"/>
      </rPr>
      <t>5.1 Publications</t>
    </r>
    <r>
      <rPr>
        <vertAlign val="superscript"/>
        <sz val="9"/>
        <color theme="1"/>
        <rFont val="Arial"/>
      </rPr>
      <t>9</t>
    </r>
  </si>
  <si>
    <r>
      <rPr>
        <sz val="9"/>
        <color theme="1"/>
        <rFont val="Arial"/>
      </rPr>
      <t>5.2 Studies, research</t>
    </r>
    <r>
      <rPr>
        <vertAlign val="superscript"/>
        <sz val="9"/>
        <color theme="1"/>
        <rFont val="Arial"/>
      </rPr>
      <t>9</t>
    </r>
  </si>
  <si>
    <r>
      <rPr>
        <sz val="9"/>
        <color theme="1"/>
        <rFont val="Arial"/>
      </rPr>
      <t>5.7 Costs of conferences/seminars</t>
    </r>
    <r>
      <rPr>
        <vertAlign val="superscript"/>
        <sz val="9"/>
        <color theme="1"/>
        <rFont val="Arial"/>
      </rPr>
      <t>9</t>
    </r>
  </si>
  <si>
    <r>
      <rPr>
        <sz val="9"/>
        <color theme="1"/>
        <rFont val="Arial"/>
      </rPr>
      <t>5.8. Visibility actions</t>
    </r>
    <r>
      <rPr>
        <vertAlign val="superscript"/>
        <sz val="9"/>
        <color theme="1"/>
        <rFont val="Arial"/>
      </rPr>
      <t>10</t>
    </r>
  </si>
  <si>
    <r>
      <rPr>
        <sz val="9"/>
        <color theme="1"/>
        <rFont val="Arial"/>
      </rPr>
      <t>10.   Indirect costs (6.9</t>
    </r>
    <r>
      <rPr>
        <sz val="9"/>
        <color rgb="FFFF0000"/>
        <rFont val="Arial"/>
      </rPr>
      <t xml:space="preserve"> </t>
    </r>
    <r>
      <rPr>
        <sz val="9"/>
        <color theme="1"/>
        <rFont val="Arial"/>
      </rPr>
      <t>% of  9, total direct eligible costs of the Action)</t>
    </r>
  </si>
  <si>
    <r>
      <rPr>
        <sz val="9"/>
        <color theme="1"/>
        <rFont val="Arial"/>
      </rPr>
      <t>12. - Taxes</t>
    </r>
    <r>
      <rPr>
        <vertAlign val="superscript"/>
        <sz val="9"/>
        <color theme="1"/>
        <rFont val="Arial"/>
      </rPr>
      <t xml:space="preserve">
</t>
    </r>
    <r>
      <rPr>
        <sz val="9"/>
        <color theme="1"/>
        <rFont val="Arial"/>
      </rPr>
      <t xml:space="preserve">      - Contributions in kind</t>
    </r>
  </si>
  <si>
    <t>Les dépenses totales de : 773 562,42 Euros comprennent 82 660 Euros représentant les avances décaissées aux partenaires ICPAC et AGRHYMET en nov et déc 2015 restant à justifier : ICAPAC: 37 100 Euros et AGRHYMET 45 560 Euros</t>
  </si>
  <si>
    <t>Après l'autorisation de l'AUC , ACMAD a utilisé de la igne ''Provisionfor contingency'' pour assurer les dépenses relatives à l'installation des antennes MESA et à la salle de vidéoconférence. La dépense de 4009,43 Euros sur la ligne ''Provisionfor contingency'' est la dépense relative à l'étude du sol, à l'installation du socle d'antenne MESA et à la salle de vidéoconférence.</t>
  </si>
  <si>
    <t>Interim financial report:                                   Period : Quarter 8 (01/07/2016-30/09/2016)</t>
  </si>
  <si>
    <t>Total Cost (July-Sept 16)
(in EUR)</t>
  </si>
  <si>
    <t>Cumulated costs (Sept 14-June 16) (in EUR)</t>
  </si>
  <si>
    <t>Cumulated costs (Sept 14-Sept 2016) (in EUR)</t>
  </si>
  <si>
    <r>
      <rPr>
        <sz val="9"/>
        <color theme="1"/>
        <rFont val="Arial"/>
      </rPr>
      <t>1.1 Salaries (gross salaries including social security charges and other related costs, local staff)</t>
    </r>
    <r>
      <rPr>
        <vertAlign val="superscript"/>
        <sz val="9"/>
        <color theme="1"/>
        <rFont val="Arial"/>
      </rPr>
      <t>4</t>
    </r>
  </si>
  <si>
    <r>
      <rPr>
        <sz val="9"/>
        <color theme="1"/>
        <rFont val="Arial"/>
      </rPr>
      <t>1.3 Per diems for missions/travel</t>
    </r>
    <r>
      <rPr>
        <vertAlign val="superscript"/>
        <sz val="9"/>
        <color theme="1"/>
        <rFont val="Arial"/>
      </rPr>
      <t>5</t>
    </r>
  </si>
  <si>
    <r>
      <rPr>
        <sz val="9"/>
        <color theme="1"/>
        <rFont val="Arial"/>
      </rPr>
      <t>2.2 Local transportation</t>
    </r>
    <r>
      <rPr>
        <b/>
        <sz val="9"/>
        <color theme="1"/>
        <rFont val="Arial"/>
      </rPr>
      <t xml:space="preserve"> </t>
    </r>
  </si>
  <si>
    <r>
      <rPr>
        <sz val="9"/>
        <color theme="1"/>
        <rFont val="Arial"/>
      </rPr>
      <t>5.1 Publications</t>
    </r>
    <r>
      <rPr>
        <vertAlign val="superscript"/>
        <sz val="9"/>
        <color theme="1"/>
        <rFont val="Arial"/>
      </rPr>
      <t>9</t>
    </r>
  </si>
  <si>
    <r>
      <rPr>
        <sz val="9"/>
        <color theme="1"/>
        <rFont val="Arial"/>
      </rPr>
      <t>5.2 Studies, research</t>
    </r>
    <r>
      <rPr>
        <vertAlign val="superscript"/>
        <sz val="9"/>
        <color theme="1"/>
        <rFont val="Arial"/>
      </rPr>
      <t>9</t>
    </r>
  </si>
  <si>
    <r>
      <rPr>
        <sz val="9"/>
        <color theme="1"/>
        <rFont val="Arial"/>
      </rPr>
      <t>5.7 Costs of conferences/seminars</t>
    </r>
    <r>
      <rPr>
        <vertAlign val="superscript"/>
        <sz val="9"/>
        <color theme="1"/>
        <rFont val="Arial"/>
      </rPr>
      <t>9</t>
    </r>
  </si>
  <si>
    <r>
      <rPr>
        <sz val="9"/>
        <color theme="1"/>
        <rFont val="Arial"/>
      </rPr>
      <t>5.8. Visibility actions</t>
    </r>
    <r>
      <rPr>
        <vertAlign val="superscript"/>
        <sz val="9"/>
        <color theme="1"/>
        <rFont val="Arial"/>
      </rPr>
      <t>10</t>
    </r>
  </si>
  <si>
    <r>
      <rPr>
        <sz val="9"/>
        <color theme="1"/>
        <rFont val="Arial"/>
      </rPr>
      <t>10.   Indirect costs (6.9</t>
    </r>
    <r>
      <rPr>
        <sz val="9"/>
        <color rgb="FFFF0000"/>
        <rFont val="Arial"/>
      </rPr>
      <t xml:space="preserve"> </t>
    </r>
    <r>
      <rPr>
        <sz val="9"/>
        <color theme="1"/>
        <rFont val="Arial"/>
      </rPr>
      <t>% of  9, total direct eligible costs of the Action)</t>
    </r>
  </si>
  <si>
    <r>
      <rPr>
        <sz val="9"/>
        <color theme="1"/>
        <rFont val="Arial"/>
      </rPr>
      <t>12. - Taxes</t>
    </r>
    <r>
      <rPr>
        <vertAlign val="superscript"/>
        <sz val="9"/>
        <color theme="1"/>
        <rFont val="Arial"/>
      </rPr>
      <t xml:space="preserve">
</t>
    </r>
    <r>
      <rPr>
        <sz val="9"/>
        <color theme="1"/>
        <rFont val="Arial"/>
      </rPr>
      <t xml:space="preserve">      - Contributions in kind</t>
    </r>
  </si>
  <si>
    <t>Les dépenses totales de : 894732,05 Euros comprennent 82 660 Euros représentant les avances décaissées aux partenaires ICPAC et AGRHYMET en nov et déc 2015 restant à justifier : ICPAC: 37 100 Euros et AGRHYMET 45 560 Euros</t>
  </si>
  <si>
    <t>#ERROR!</t>
  </si>
  <si>
    <t>#REF!</t>
  </si>
  <si>
    <r>
      <t xml:space="preserve"> 1. Budget for the Action</t>
    </r>
    <r>
      <rPr>
        <b/>
        <vertAlign val="superscript"/>
        <sz val="9"/>
        <rFont val="Arial"/>
        <family val="2"/>
      </rPr>
      <t>1</t>
    </r>
  </si>
  <si>
    <r>
      <t xml:space="preserve">Unit </t>
    </r>
    <r>
      <rPr>
        <b/>
        <vertAlign val="superscript"/>
        <sz val="9"/>
        <rFont val="Arial"/>
        <family val="2"/>
      </rPr>
      <t>13</t>
    </r>
  </si>
  <si>
    <r>
      <t>Total Cost
(in EUR)</t>
    </r>
    <r>
      <rPr>
        <b/>
        <vertAlign val="superscript"/>
        <sz val="9"/>
        <rFont val="Arial"/>
        <family val="2"/>
      </rPr>
      <t>3</t>
    </r>
  </si>
  <si>
    <r>
      <t>Salaries (gross salaries including social security charges and other related costs, local staff)</t>
    </r>
    <r>
      <rPr>
        <b/>
        <i/>
        <vertAlign val="superscript"/>
        <sz val="9"/>
        <rFont val="Arial"/>
        <family val="2"/>
      </rPr>
      <t>4</t>
    </r>
  </si>
  <si>
    <r>
      <t>1.3 Per diems for missions/travel</t>
    </r>
    <r>
      <rPr>
        <b/>
        <vertAlign val="superscript"/>
        <sz val="9"/>
        <rFont val="Arial"/>
        <family val="2"/>
      </rPr>
      <t>5</t>
    </r>
  </si>
  <si>
    <r>
      <t>2. Travel</t>
    </r>
    <r>
      <rPr>
        <b/>
        <vertAlign val="superscript"/>
        <sz val="9"/>
        <rFont val="Arial"/>
        <family val="2"/>
      </rPr>
      <t>6</t>
    </r>
  </si>
  <si>
    <r>
      <t>3. Equipment and supplies</t>
    </r>
    <r>
      <rPr>
        <b/>
        <vertAlign val="superscript"/>
        <sz val="9"/>
        <rFont val="Arial"/>
        <family val="2"/>
      </rPr>
      <t>7</t>
    </r>
  </si>
  <si>
    <r>
      <t>5. Other costs, services</t>
    </r>
    <r>
      <rPr>
        <b/>
        <vertAlign val="superscript"/>
        <sz val="9"/>
        <rFont val="Arial"/>
        <family val="2"/>
      </rPr>
      <t>8</t>
    </r>
    <r>
      <rPr>
        <b/>
        <sz val="9"/>
        <rFont val="Arial"/>
        <family val="2"/>
      </rPr>
      <t xml:space="preserve"> (</t>
    </r>
    <r>
      <rPr>
        <sz val="9"/>
        <rFont val="Arial"/>
        <family val="2"/>
      </rPr>
      <t>any sub contracting should be put here</t>
    </r>
    <r>
      <rPr>
        <b/>
        <sz val="9"/>
        <rFont val="Arial"/>
        <family val="2"/>
      </rPr>
      <t>)</t>
    </r>
  </si>
  <si>
    <r>
      <t>5.1 Publications</t>
    </r>
    <r>
      <rPr>
        <b/>
        <vertAlign val="superscript"/>
        <sz val="9"/>
        <rFont val="Arial"/>
        <family val="2"/>
      </rPr>
      <t>9</t>
    </r>
  </si>
  <si>
    <r>
      <t>5.2 Studies, training research</t>
    </r>
    <r>
      <rPr>
        <b/>
        <vertAlign val="superscript"/>
        <sz val="9"/>
        <rFont val="Arial"/>
        <family val="2"/>
      </rPr>
      <t>9</t>
    </r>
  </si>
  <si>
    <r>
      <t>5.7 Costs of conferences/seminars</t>
    </r>
    <r>
      <rPr>
        <b/>
        <vertAlign val="superscript"/>
        <sz val="9"/>
        <rFont val="Arial"/>
        <family val="2"/>
      </rPr>
      <t>9</t>
    </r>
  </si>
  <si>
    <r>
      <t>5.8. Visibility actions</t>
    </r>
    <r>
      <rPr>
        <b/>
        <vertAlign val="superscript"/>
        <sz val="9"/>
        <rFont val="Arial"/>
        <family val="2"/>
      </rPr>
      <t>10</t>
    </r>
  </si>
  <si>
    <r>
      <t xml:space="preserve">Subtotal Other costs, </t>
    </r>
    <r>
      <rPr>
        <b/>
        <i/>
        <u/>
        <sz val="9"/>
        <rFont val="Arial"/>
        <family val="2"/>
      </rPr>
      <t>services</t>
    </r>
  </si>
  <si>
    <r>
      <t xml:space="preserve">12. - Taxes </t>
    </r>
    <r>
      <rPr>
        <vertAlign val="superscript"/>
        <sz val="9"/>
        <rFont val="Arial"/>
        <family val="2"/>
      </rPr>
      <t xml:space="preserve">11
</t>
    </r>
    <r>
      <rPr>
        <sz val="9"/>
        <rFont val="Arial"/>
        <family val="2"/>
      </rPr>
      <t xml:space="preserve">      - Contributions in kind </t>
    </r>
    <r>
      <rPr>
        <vertAlign val="superscript"/>
        <sz val="9"/>
        <rFont val="Arial"/>
        <family val="2"/>
      </rPr>
      <t>12</t>
    </r>
  </si>
  <si>
    <r>
      <t>13. Total accepted</t>
    </r>
    <r>
      <rPr>
        <b/>
        <vertAlign val="superscript"/>
        <sz val="9"/>
        <rFont val="Arial"/>
        <family val="2"/>
      </rPr>
      <t xml:space="preserve">11 </t>
    </r>
    <r>
      <rPr>
        <b/>
        <sz val="9"/>
        <rFont val="Arial"/>
        <family val="2"/>
      </rPr>
      <t>costs of the Action (11+12)</t>
    </r>
  </si>
  <si>
    <r>
      <t xml:space="preserve"> 1. Budget du Projet</t>
    </r>
    <r>
      <rPr>
        <b/>
        <vertAlign val="superscript"/>
        <sz val="9"/>
        <rFont val="Arial"/>
        <family val="2"/>
      </rPr>
      <t>1</t>
    </r>
  </si>
  <si>
    <t>Année 2</t>
  </si>
  <si>
    <t>Unité</t>
  </si>
  <si>
    <t># d'Unités</t>
  </si>
  <si>
    <t>Valeur unitaire
(en EUR)</t>
  </si>
  <si>
    <t>Budget Année 2
(en EUR)</t>
  </si>
  <si>
    <t>1. Ressources humaines</t>
  </si>
  <si>
    <t>Salaires (salaires bruts, y compris les frais de sécurité sociale et autres frais connexes, personnel local) 4</t>
  </si>
  <si>
    <t>1.1 Personnel de soutien</t>
  </si>
  <si>
    <t>1.1.1 Support - Secrétariat</t>
  </si>
  <si>
    <t>1.1.2 Support - Logistique</t>
  </si>
  <si>
    <t>1.1.3 Support - Conducteur</t>
  </si>
  <si>
    <t>1. 1.4 Prise en charge - Administrateur du réseau informatique</t>
  </si>
  <si>
    <t>1.1.5 Support - Ressource humaine</t>
  </si>
  <si>
    <t>1.1.6 Prise en charge - comptable</t>
  </si>
  <si>
    <t>1.1.7 Soutien - Expertise à court terme</t>
  </si>
  <si>
    <t>1.2 salaires (salaires bruts, y compris la sécurité sociale
Frais et autres frais connexes, expatrié / int. Personnel)</t>
  </si>
  <si>
    <t>1.2 Personnel international</t>
  </si>
  <si>
    <t>1.2.1 Manager / Executive</t>
  </si>
  <si>
    <t>1.2.2 Coordonnateur technique</t>
  </si>
  <si>
    <t>1.2.3. Agent administratif et financier</t>
  </si>
  <si>
    <t>1.2.4 technique - scientifique thématique expert en changement climatique)</t>
  </si>
  <si>
    <t>1.2.4a technique - Experts thématiques seniors (prévisionniste du lead)</t>
  </si>
  <si>
    <t>1.2.4b Technical - Experts thématiques (2 prévisionnistes)</t>
  </si>
  <si>
    <t>1.2.5 TECHNIQUE - Expert thématique (surveillance du climat)</t>
  </si>
  <si>
    <t>1.2.6 Techniques - Base de données / TI Expert</t>
  </si>
  <si>
    <t>1.2.7 TECHNIQUE - Expert en communication</t>
  </si>
  <si>
    <t>1.2.8 Experts techniques en termes</t>
  </si>
  <si>
    <t>1.3 Perdems pour les missions / voyages5</t>
  </si>
  <si>
    <t>1.3.1 à l'étranger (personnel affecté à l'action)</t>
  </si>
  <si>
    <t>1.3.1.1 Une réunion pour personnaliser les directives de l'UIP continentale pour l'Afrique (6 jours de mission)</t>
  </si>
  <si>
    <t>1.3.1.2 Une réunion avec l'UIP pour définir et spécifier les services</t>
  </si>
  <si>
    <t>1.3.1.3 Participation à 2 réunions d'utilisateurs Un tous les 2 ans par 2 employés de la collecte de services de services et de commentaires sur les services à l'UIP pendant 3 jours chacun</t>
  </si>
  <si>
    <t>1.3.1.4 Organisation ou participation à RCOFS (jusqu'à 5 jours * 4foras * 4years) avec 5 participants d'ACMAD et UIP continental</t>
  </si>
  <si>
    <t>1.3.1.5 Formations de 2 membres du personnel d'ACMAD chaque année par JRC, Copernic ou d'autres centres mondiaux pendant 4 ans</t>
  </si>
  <si>
    <t>1.3.1.6 Formation de 2 membres du personnel d'ACMAD chaque année à Eumetsat ou à un autre centre</t>
  </si>
  <si>
    <t>1.3.1.7 Participation aux événements COPS, SBSTA et GIEC du CNCUCC</t>
  </si>
  <si>
    <t>1.3.1.8 Participation à Global DRR pour A et les événements mondiaux de la santé et du climat une fois tous les 2 ans</t>
  </si>
  <si>
    <t>1.3.2 local (personnel affecté à l'action)</t>
  </si>
  <si>
    <t>1.3.3 Réunions (gouvernance et gestion) Participants</t>
  </si>
  <si>
    <t>1.3.3.1 Membres assister aux réunions de l'ACMAD CSC (15) Trois jours de réunion et deux jours de voyage</t>
  </si>
  <si>
    <t>1.3.3.2 Réunions de coordination technique avec RCCS, JRC, Eumetsat et d'autres centres un tous les deux ans</t>
  </si>
  <si>
    <t>1.3.3.3 Lancement et fin des réunions de projet pour 20 participants (un jour de coup d'envoi et un jour pour la fin de la réunion et deux jours de voyage pour chaque événement)</t>
  </si>
  <si>
    <t>Ressources humaines substotales</t>
  </si>
  <si>
    <t>2. Travels 6</t>
  </si>
  <si>
    <t>2.1. Voyage international</t>
  </si>
  <si>
    <t>2.1.1 Une réunion pour personnaliser les directives de l'UIP continentale pour l'Afrique</t>
  </si>
  <si>
    <t>2.1.2 Une réunion avec l'UIP pour définir et spécifier les services</t>
  </si>
  <si>
    <t>2.1.3 Participation à 2 réunions d'utilisateurs tous les 2 ans par 2 employés de la collecte de services et de rétroaction Action for Services à l'UIP</t>
  </si>
  <si>
    <t>2.1.4 Organisation ou participation aux RCOFS (5participants * 4foras * 4 ans) avec 5 participants d'ACMAD et UIP continental</t>
  </si>
  <si>
    <t>2.1.5 Formations de 2 membres du personnel d'ACMAD chaque année par JRC, Copernic ou d'autres centres mondiaux pendant 4 ans</t>
  </si>
  <si>
    <t>2.1.6 Formation de 2 membres du personnel d'ACMAD chaque année à Eumetsat ou à un autre centre</t>
  </si>
  <si>
    <t>2.1.7 Participation aux événements COPS, SBSTA et GIEC du CNCOPC</t>
  </si>
  <si>
    <t>2.1.8 Participation à Global DRR pour A et les événements mondiaux de la santé et du climat une fois tous les 2 ans</t>
  </si>
  <si>
    <t>2.1.9 Sur la formation professionnelle, stage</t>
  </si>
  <si>
    <t>2.1.10 Personnel sur le recrutement, les vacances, à la fin du contrat, sur le détachement ou les bourses…</t>
  </si>
  <si>
    <t>2.2. Voyage international pour la mission</t>
  </si>
  <si>
    <t>2.2.1 Voyage international pour le coup d'envoi fin du projet, direction, réunions de coordination</t>
  </si>
  <si>
    <t>2.2.1.1 Membres (15) pour participer aux réunions de la PSC tenues pour 3 jours de réunion et deux jours de voyage par an pendant cinq ans</t>
  </si>
  <si>
    <t>2.2.1.2 Réunions de coordination technique avec RCCS, JRC, Eumetsat et d'autres centres un tous les deux ans</t>
  </si>
  <si>
    <t>2.2.1.3 Lancement et fin des réunions de projet pour 20 participants (un jour de coup d'envoi et un jour pour la fin de la réunion et deux jours de voyage pour chaque événement)</t>
  </si>
  <si>
    <t>2.2.2 Voyage international pour la mission (VISA + dépenses terminales)</t>
  </si>
  <si>
    <t>2.2.2.1 Visa + terminal coûteux (pour les voyages)</t>
  </si>
  <si>
    <t>2.3 Autre projet de voyage national du personnel</t>
  </si>
  <si>
    <t>2.3.1 Voyage international vers et / ou depuis la station après le recrutement</t>
  </si>
  <si>
    <t>Voyage substotal</t>
  </si>
  <si>
    <t>3. Équipement et fournitures 7</t>
  </si>
  <si>
    <t>3.1 Véhicule</t>
  </si>
  <si>
    <t>3.2 meubles, équipement informatique</t>
  </si>
  <si>
    <t>3.2.1 Desktop / ordinateur portable / tablette et serveur de données</t>
  </si>
  <si>
    <t>3.2.2 Imprimante (pour PM, SAF, experts) noir / blanc et couleur</t>
  </si>
  <si>
    <t>3.2.3 Photocopier</t>
  </si>
  <si>
    <t>3.2.4 Projecteur</t>
  </si>
  <si>
    <t>3.2.5 Disques externes</t>
  </si>
  <si>
    <t>3.2.6 classeur</t>
  </si>
  <si>
    <t>3.2.7 Chaises de chambre</t>
  </si>
  <si>
    <t>3.2.8 Anti-virus, autres licences, frais d'hébergement Web</t>
  </si>
  <si>
    <t>3.2.9 Matériaux audio-visuels (photo, caméra vidéo, accessoires de stand)</t>
  </si>
  <si>
    <t>3.2.10 climatiseur / division</t>
  </si>
  <si>
    <t>3.2.11 Alimentation, batteries et pièces de rechange</t>
  </si>
  <si>
    <t>3.3 Autre (veuillez spécifier)</t>
  </si>
  <si>
    <t>Équipement et fournitures substotales</t>
  </si>
  <si>
    <t>4. Bureau local</t>
  </si>
  <si>
    <t>4.1 Coûts du générateur d'énergie</t>
  </si>
  <si>
    <t>4.1.1 Maintenance, achat, installation de nouveaux équipements et rénovation des bureaux</t>
  </si>
  <si>
    <t>4.1.2 Huile, Gaz</t>
  </si>
  <si>
    <t>4.3 Consumables - Office Supplies</t>
  </si>
  <si>
    <t>4.3.1 Supplies de bureau</t>
  </si>
  <si>
    <t>4.3.2 papeterie comprenant du papier et des catridges d'imprimante</t>
  </si>
  <si>
    <t>4.4 Autres services (Tel / Fax, Internet, électricité / chauffage, maintenance)</t>
  </si>
  <si>
    <t>4.4.1 Services</t>
  </si>
  <si>
    <t>Bureau local substotal</t>
  </si>
  <si>
    <t>5. Autres coûts, services8 (toute sous-contrat doit être mise ici)</t>
  </si>
  <si>
    <t>5.1 Publications9</t>
  </si>
  <si>
    <t>5.2 Études, recherche de formation9</t>
  </si>
  <si>
    <t>5.2.1 Sur le transfert du travail, coût de subsistance de stage</t>
  </si>
  <si>
    <t>5.2.2 Personnel sur le détachement, Coût de la subvention à la bourse</t>
  </si>
  <si>
    <t>5.2.3 Système de suivi et d'évaluation, planification de la stratégie de communication et services de formation connexes</t>
  </si>
  <si>
    <t>5.2.4 Configuration, mise à jour et formation des outils de gestion des performances comptables Configuration, mise à jour</t>
  </si>
  <si>
    <t>5.2.6 Service de formation IT / SIG</t>
  </si>
  <si>
    <t>5.3 Vérification / audit des dépenses</t>
  </si>
  <si>
    <t>5.3.1 'Vérifications des dépenses (Audit)</t>
  </si>
  <si>
    <t>5.4 Coûts d'évaluation</t>
  </si>
  <si>
    <t>5.5 Traduction, interprètes</t>
  </si>
  <si>
    <t>5.5.1 Traduction de documents 2 langues pour 500 pages par an))</t>
  </si>
  <si>
    <t>5.5.2 Interprètes (2) Pour les réunions, séminaires et ateliers 10 jours PR Année pendant 4 ans</t>
  </si>
  <si>
    <t>5.6 Services financiers (frais de garantie bancaire, etc.)</t>
  </si>
  <si>
    <t>5.6.1 Services financiers (frais de garantie bancaire, etc.)</t>
  </si>
  <si>
    <t>5.6.2 Services financiers (frais bancaires, commission et frais de transfert, etc.)</t>
  </si>
  <si>
    <t>5.7 coûts des conférences / séminaires9</t>
  </si>
  <si>
    <t>5.7.1 Réunions pour personnaliser les directives continentales de l'UIP et définir les services, les RCOFS, la CCNUCC, le GIEC, les événements mondiaux de la RDR et la santé, le coup d'envoi et la fin des réunions de projet, la direction et les réunions de coordination (coût incluent le loyer des chambres, les équipements d'interprétation, les stands…. )</t>
  </si>
  <si>
    <t>5.8. Actions de visibilité10</t>
  </si>
  <si>
    <t>5.8.1 Production et distribution du matériel de publicité et de visibilité tels que les rapports annuels, les bâtons USB, les affiches et les bannières</t>
  </si>
  <si>
    <t>5.8.2 Matériel de plaidoyer, exposition, événements secondaires lors de grandes conférences telles que les flics et autres réunions</t>
  </si>
  <si>
    <t>Autres autres coûts, services sous-totaux</t>
  </si>
  <si>
    <t>6. Autre</t>
  </si>
  <si>
    <t>6.1 Autres coûts de recrutement</t>
  </si>
  <si>
    <t>6.1.1 Autres coûts de recrutement (services de recrutement externes ou expertise dans le coût des comités de recrutement, le coût de la communication entre les membres du comité, la préparation de la vacance et / ou le coût de la publication, l'organisation des réunions du comité de recrutement et les frais de rapport de recrutement… ..)</t>
  </si>
  <si>
    <t>Autre sous-total</t>
  </si>
  <si>
    <t>7. Coûts éligibles directs sous-totaux de l'action (1-6)</t>
  </si>
  <si>
    <t>8. Provision pour la réserve d'urgence (maximum 4% de 7, sous-total des coûts éligibles directs de l'action)</t>
  </si>
  <si>
    <t>9. Coûts éligibles directs totaux de l'action (7+ 8)</t>
  </si>
  <si>
    <t>10. Coûts indirects (maximum 5% de 9, coûts éligibles directs totaux de l'action)</t>
  </si>
  <si>
    <t>11. Coûts éligibles totaux (9 + 10)</t>
  </si>
  <si>
    <t>12. - Taxes 11
- Contributions en Kind 12</t>
  </si>
  <si>
    <t>13. Total accepté 11 coûts de l'action (11 + 12)</t>
  </si>
  <si>
    <t>Par mois</t>
  </si>
  <si>
    <t>Par vol</t>
  </si>
  <si>
    <t>par vol</t>
  </si>
  <si>
    <t>Par véhicule</t>
  </si>
  <si>
    <t>Par Desk/laptop</t>
  </si>
  <si>
    <t>Par photocopieuse</t>
  </si>
  <si>
    <t>Par projecteur</t>
  </si>
  <si>
    <t>Par cabinet</t>
  </si>
  <si>
    <t>Par chaise</t>
  </si>
  <si>
    <t>par split</t>
  </si>
  <si>
    <t>Par an</t>
  </si>
  <si>
    <t>mois</t>
  </si>
  <si>
    <t>semaine</t>
  </si>
  <si>
    <t>jour</t>
  </si>
  <si>
    <t>Par audit</t>
  </si>
  <si>
    <t xml:space="preserve">par page </t>
  </si>
  <si>
    <t>par jour</t>
  </si>
  <si>
    <t>par an</t>
  </si>
  <si>
    <t>Par contract</t>
  </si>
  <si>
    <t>Réunion de préparation pour les comités de direction, de coordination des conseils et de coordination technique de Thel Climsa")</t>
  </si>
  <si>
    <t>Réunions de coordination / planification avec des centres climatiques régionaux, établir des partenariats, la communication et la gestion des connaissances")</t>
  </si>
  <si>
    <t>Secrétariat, comptabilité, ressources humaines financières, Logistique, secretariat, Inffrastructure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</si>
</sst>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d/m/yyyy"/>
    <numFmt numFmtId="165" formatCode="#,##0.00000"/>
    <numFmt numFmtId="166" formatCode="0.0"/>
    <numFmt numFmtId="167" formatCode="_(* #,##0.00_);_(* \(#,##0.00\);_(* &quot;-&quot;??_);_(@_)"/>
    <numFmt numFmtId="168" formatCode="_-* #,##0.00\ _€_-;\-* #,##0.00\ _€_-;_-* &quot;-&quot;??\ _€_-;_-@"/>
    <numFmt numFmtId="169" formatCode="_-* #,##0.00_-;\-* #,##0.00_-;_-* &quot;-&quot;??_-;_-@"/>
    <numFmt numFmtId="170" formatCode="_-* #,##0\ _F_B_-;\-* #,##0\ _F_B_-;_-* &quot;-&quot;??\ _F_B_-;_-@"/>
    <numFmt numFmtId="171" formatCode="#,##0.00_ ;\-#,##0.00\ "/>
    <numFmt numFmtId="172" formatCode="_-* #,##0.00\ _€_-;\-* #,##0.00\ _€_-;_-* &quot;-&quot;??\ _€_-;_-@_-"/>
  </numFmts>
  <fonts count="74">
    <font>
      <sz val="11"/>
      <color theme="1"/>
      <name val="Calibri"/>
      <scheme val="minor"/>
    </font>
    <font>
      <sz val="11"/>
      <color theme="1"/>
      <name val="Calibri"/>
      <family val="2"/>
      <scheme val="minor"/>
    </font>
    <font>
      <sz val="11"/>
      <color theme="1"/>
      <name val="Calibri"/>
    </font>
    <font>
      <b/>
      <i/>
      <sz val="9"/>
      <color theme="1"/>
      <name val="Calibri"/>
    </font>
    <font>
      <sz val="10"/>
      <color theme="1"/>
      <name val="Arial Narrow"/>
    </font>
    <font>
      <b/>
      <sz val="12"/>
      <color theme="1"/>
      <name val="Arial Narrow"/>
    </font>
    <font>
      <sz val="11"/>
      <name val="Calibri"/>
    </font>
    <font>
      <b/>
      <sz val="10"/>
      <color theme="1"/>
      <name val="Arial Narrow"/>
    </font>
    <font>
      <b/>
      <sz val="11"/>
      <color theme="1"/>
      <name val="Arial Narrow"/>
    </font>
    <font>
      <sz val="9"/>
      <color theme="1"/>
      <name val="Arial Narrow"/>
    </font>
    <font>
      <sz val="11"/>
      <color theme="1"/>
      <name val="Arial Narrow"/>
    </font>
    <font>
      <b/>
      <i/>
      <sz val="10"/>
      <color theme="1"/>
      <name val="Arial Narrow"/>
    </font>
    <font>
      <b/>
      <i/>
      <sz val="9"/>
      <color theme="1"/>
      <name val="Arial Narrow"/>
    </font>
    <font>
      <b/>
      <i/>
      <sz val="12"/>
      <color theme="1"/>
      <name val="Arial Rounded"/>
    </font>
    <font>
      <b/>
      <i/>
      <sz val="12"/>
      <color theme="1"/>
      <name val="Arial Narrow"/>
    </font>
    <font>
      <sz val="10"/>
      <color theme="1"/>
      <name val="Arial"/>
    </font>
    <font>
      <b/>
      <sz val="11"/>
      <color theme="1"/>
      <name val="Calibri"/>
    </font>
    <font>
      <b/>
      <sz val="10"/>
      <color theme="1"/>
      <name val="Arial"/>
    </font>
    <font>
      <sz val="10"/>
      <color rgb="FF000000"/>
      <name val="Arial"/>
    </font>
    <font>
      <b/>
      <sz val="10"/>
      <color rgb="FF000000"/>
      <name val="Arial"/>
    </font>
    <font>
      <sz val="10"/>
      <color theme="4"/>
      <name val="Arial"/>
    </font>
    <font>
      <sz val="10"/>
      <color rgb="FF1F497D"/>
      <name val="Arial"/>
    </font>
    <font>
      <sz val="10"/>
      <color theme="0"/>
      <name val="Arial"/>
    </font>
    <font>
      <sz val="10"/>
      <color rgb="FF548DD4"/>
      <name val="Arial"/>
    </font>
    <font>
      <sz val="11"/>
      <color theme="1"/>
      <name val="Calibri"/>
      <scheme val="minor"/>
    </font>
    <font>
      <b/>
      <u/>
      <sz val="10"/>
      <color theme="1"/>
      <name val="Times New Roman"/>
    </font>
    <font>
      <b/>
      <sz val="9"/>
      <color theme="1"/>
      <name val="Arial"/>
    </font>
    <font>
      <sz val="9"/>
      <color theme="1"/>
      <name val="Arial"/>
    </font>
    <font>
      <b/>
      <i/>
      <sz val="9"/>
      <color theme="1"/>
      <name val="Arial"/>
    </font>
    <font>
      <i/>
      <sz val="9"/>
      <color theme="1"/>
      <name val="Arial"/>
    </font>
    <font>
      <b/>
      <i/>
      <sz val="10"/>
      <color theme="1"/>
      <name val="Arial"/>
    </font>
    <font>
      <i/>
      <sz val="10"/>
      <color theme="1"/>
      <name val="Arial"/>
    </font>
    <font>
      <sz val="8"/>
      <color theme="1"/>
      <name val="Arial"/>
    </font>
    <font>
      <sz val="12"/>
      <color theme="1"/>
      <name val="Arial Narrow"/>
    </font>
    <font>
      <b/>
      <sz val="14"/>
      <color theme="1"/>
      <name val="Arial Narrow"/>
    </font>
    <font>
      <sz val="8"/>
      <color theme="1"/>
      <name val="Arial Narrow"/>
    </font>
    <font>
      <b/>
      <sz val="9"/>
      <color theme="1"/>
      <name val="Arial Narrow"/>
    </font>
    <font>
      <i/>
      <sz val="10"/>
      <color theme="1"/>
      <name val="Arial Narrow"/>
    </font>
    <font>
      <sz val="12"/>
      <color theme="1"/>
      <name val="Arial"/>
    </font>
    <font>
      <b/>
      <sz val="14"/>
      <color theme="1"/>
      <name val="Arial"/>
    </font>
    <font>
      <b/>
      <sz val="12"/>
      <color theme="1"/>
      <name val="Arial"/>
    </font>
    <font>
      <b/>
      <sz val="10"/>
      <color rgb="FFFF0000"/>
      <name val="Arial"/>
    </font>
    <font>
      <b/>
      <sz val="9"/>
      <color rgb="FFFF0000"/>
      <name val="Arial"/>
    </font>
    <font>
      <sz val="9"/>
      <color rgb="FF1F497D"/>
      <name val="Arial"/>
    </font>
    <font>
      <b/>
      <sz val="9"/>
      <color rgb="FF1F497D"/>
      <name val="Arial"/>
    </font>
    <font>
      <b/>
      <i/>
      <sz val="9"/>
      <color rgb="FF1F497D"/>
      <name val="Arial"/>
    </font>
    <font>
      <sz val="9"/>
      <color theme="1"/>
      <name val="Calibri"/>
    </font>
    <font>
      <i/>
      <sz val="9"/>
      <color rgb="FF1F497D"/>
      <name val="Arial"/>
    </font>
    <font>
      <i/>
      <sz val="9"/>
      <color theme="1"/>
      <name val="Arial Narrow"/>
    </font>
    <font>
      <b/>
      <sz val="10"/>
      <color rgb="FF000000"/>
      <name val="Arial Narrow"/>
    </font>
    <font>
      <b/>
      <sz val="11"/>
      <color rgb="FF000000"/>
      <name val="Arial Narrow"/>
    </font>
    <font>
      <i/>
      <sz val="11"/>
      <color rgb="FF000000"/>
      <name val="Arial Narrow"/>
    </font>
    <font>
      <b/>
      <vertAlign val="superscript"/>
      <sz val="9"/>
      <color theme="1"/>
      <name val="Arial"/>
    </font>
    <font>
      <b/>
      <i/>
      <u/>
      <sz val="9"/>
      <color theme="1"/>
      <name val="Arial"/>
    </font>
    <font>
      <vertAlign val="superscript"/>
      <sz val="9"/>
      <color theme="1"/>
      <name val="Arial"/>
    </font>
    <font>
      <b/>
      <vertAlign val="superscript"/>
      <sz val="10"/>
      <color theme="1"/>
      <name val="Arial"/>
    </font>
    <font>
      <b/>
      <vertAlign val="superscript"/>
      <sz val="10"/>
      <color theme="1"/>
      <name val="Arial Narrow"/>
    </font>
    <font>
      <vertAlign val="superscript"/>
      <sz val="10"/>
      <color theme="1"/>
      <name val="Arial Narrow"/>
    </font>
    <font>
      <sz val="9"/>
      <color rgb="FFFF0000"/>
      <name val="Arial"/>
    </font>
    <font>
      <sz val="10"/>
      <color rgb="FF000000"/>
      <name val="Arial"/>
      <family val="2"/>
    </font>
    <font>
      <b/>
      <sz val="9"/>
      <name val="Arial"/>
      <family val="2"/>
    </font>
    <font>
      <b/>
      <vertAlign val="superscript"/>
      <sz val="9"/>
      <name val="Arial"/>
      <family val="2"/>
    </font>
    <font>
      <sz val="9"/>
      <name val="Arial"/>
      <family val="2"/>
    </font>
    <font>
      <sz val="10"/>
      <name val="Arial"/>
      <family val="2"/>
    </font>
    <font>
      <b/>
      <i/>
      <sz val="9"/>
      <name val="Arial"/>
      <family val="2"/>
    </font>
    <font>
      <b/>
      <i/>
      <vertAlign val="superscript"/>
      <sz val="9"/>
      <name val="Arial"/>
      <family val="2"/>
    </font>
    <font>
      <b/>
      <sz val="10"/>
      <name val="Arial"/>
      <family val="2"/>
    </font>
    <font>
      <i/>
      <sz val="9"/>
      <name val="Arial"/>
      <family val="2"/>
    </font>
    <font>
      <b/>
      <sz val="10"/>
      <color rgb="FF000000"/>
      <name val="Arial"/>
      <family val="2"/>
    </font>
    <font>
      <b/>
      <i/>
      <u/>
      <sz val="9"/>
      <name val="Arial"/>
      <family val="2"/>
    </font>
    <font>
      <vertAlign val="superscript"/>
      <sz val="9"/>
      <name val="Arial"/>
      <family val="2"/>
    </font>
    <font>
      <b/>
      <sz val="9"/>
      <color theme="1"/>
      <name val="Arial"/>
      <family val="2"/>
    </font>
    <font>
      <b/>
      <i/>
      <sz val="9"/>
      <color theme="1"/>
      <name val="Arial"/>
      <family val="2"/>
    </font>
    <font>
      <sz val="9"/>
      <color theme="1"/>
      <name val="Arial"/>
      <family val="2"/>
    </font>
  </fonts>
  <fills count="47">
    <fill>
      <patternFill patternType="none"/>
    </fill>
    <fill>
      <patternFill patternType="gray125"/>
    </fill>
    <fill>
      <patternFill patternType="solid">
        <fgColor rgb="FFBFBFBF"/>
        <bgColor rgb="FFBFBFBF"/>
      </patternFill>
    </fill>
    <fill>
      <patternFill patternType="solid">
        <fgColor rgb="FFD8D8D8"/>
        <bgColor rgb="FFD8D8D8"/>
      </patternFill>
    </fill>
    <fill>
      <patternFill patternType="solid">
        <fgColor rgb="FFFFFFFF"/>
        <bgColor rgb="FFFFFFFF"/>
      </patternFill>
    </fill>
    <fill>
      <patternFill patternType="solid">
        <fgColor rgb="FFDAEEF3"/>
        <bgColor rgb="FFDAEEF3"/>
      </patternFill>
    </fill>
    <fill>
      <patternFill patternType="solid">
        <fgColor rgb="FFD9D9D9"/>
        <bgColor rgb="FFD9D9D9"/>
      </patternFill>
    </fill>
    <fill>
      <patternFill patternType="solid">
        <fgColor theme="4"/>
        <bgColor theme="4"/>
      </patternFill>
    </fill>
    <fill>
      <patternFill patternType="solid">
        <fgColor rgb="FFCCC0D9"/>
        <bgColor rgb="FFCCC0D9"/>
      </patternFill>
    </fill>
    <fill>
      <patternFill patternType="solid">
        <fgColor theme="0"/>
        <bgColor theme="0"/>
      </patternFill>
    </fill>
    <fill>
      <patternFill patternType="solid">
        <fgColor rgb="FF1F497D"/>
        <bgColor rgb="FF1F497D"/>
      </patternFill>
    </fill>
    <fill>
      <patternFill patternType="solid">
        <fgColor rgb="FF548DD4"/>
        <bgColor rgb="FF548DD4"/>
      </patternFill>
    </fill>
    <fill>
      <patternFill patternType="solid">
        <fgColor rgb="FF95B3D7"/>
        <bgColor rgb="FF95B3D7"/>
      </patternFill>
    </fill>
    <fill>
      <patternFill patternType="solid">
        <fgColor rgb="FFFDE9D9"/>
        <bgColor rgb="FFFDE9D9"/>
      </patternFill>
    </fill>
    <fill>
      <patternFill patternType="solid">
        <fgColor rgb="FFFBD4B4"/>
        <bgColor rgb="FFFBD4B4"/>
      </patternFill>
    </fill>
    <fill>
      <patternFill patternType="solid">
        <fgColor rgb="FFC0C0C0"/>
        <bgColor rgb="FFC0C0C0"/>
      </patternFill>
    </fill>
    <fill>
      <patternFill patternType="solid">
        <fgColor rgb="FFC6D9F0"/>
        <bgColor rgb="FFC6D9F0"/>
      </patternFill>
    </fill>
    <fill>
      <patternFill patternType="solid">
        <fgColor rgb="FFF2F2F2"/>
        <bgColor rgb="FFF2F2F2"/>
      </patternFill>
    </fill>
    <fill>
      <patternFill patternType="solid">
        <fgColor rgb="FF969696"/>
        <bgColor rgb="FF969696"/>
      </patternFill>
    </fill>
    <fill>
      <patternFill patternType="solid">
        <fgColor rgb="FFFFFF00"/>
        <bgColor rgb="FFFFFF00"/>
      </patternFill>
    </fill>
    <fill>
      <patternFill patternType="solid">
        <fgColor rgb="FFFFC000"/>
        <bgColor rgb="FFFFC000"/>
      </patternFill>
    </fill>
    <fill>
      <patternFill patternType="solid">
        <fgColor rgb="FFFFCC00"/>
        <bgColor rgb="FFFFCC00"/>
      </patternFill>
    </fill>
    <fill>
      <patternFill patternType="solid">
        <fgColor rgb="FFCCFFFF"/>
        <bgColor rgb="FFCCFFFF"/>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3" tint="0.79998168889431442"/>
        <bgColor rgb="FFBFBFBF"/>
      </patternFill>
    </fill>
    <fill>
      <patternFill patternType="solid">
        <fgColor theme="3" tint="0.79998168889431442"/>
        <bgColor rgb="FFC0C0C0"/>
      </patternFill>
    </fill>
    <fill>
      <patternFill patternType="solid">
        <fgColor theme="9" tint="0.79998168889431442"/>
        <bgColor indexed="64"/>
      </patternFill>
    </fill>
    <fill>
      <patternFill patternType="solid">
        <fgColor theme="9" tint="0.79998168889431442"/>
        <bgColor rgb="FFC0C0C0"/>
      </patternFill>
    </fill>
    <fill>
      <patternFill patternType="solid">
        <fgColor theme="7" tint="0.79998168889431442"/>
        <bgColor indexed="64"/>
      </patternFill>
    </fill>
    <fill>
      <patternFill patternType="solid">
        <fgColor theme="7" tint="0.79998168889431442"/>
        <bgColor rgb="FFC0C0C0"/>
      </patternFill>
    </fill>
    <fill>
      <patternFill patternType="solid">
        <fgColor theme="6" tint="0.79998168889431442"/>
        <bgColor indexed="64"/>
      </patternFill>
    </fill>
    <fill>
      <patternFill patternType="solid">
        <fgColor theme="6" tint="0.79998168889431442"/>
        <bgColor rgb="FFC0C0C0"/>
      </patternFill>
    </fill>
    <fill>
      <patternFill patternType="solid">
        <fgColor theme="0" tint="-0.14999847407452621"/>
        <bgColor indexed="64"/>
      </patternFill>
    </fill>
    <fill>
      <patternFill patternType="solid">
        <fgColor theme="0"/>
        <bgColor indexed="64"/>
      </patternFill>
    </fill>
    <fill>
      <patternFill patternType="solid">
        <fgColor theme="0" tint="-0.14999847407452621"/>
        <bgColor rgb="FFC0C0C0"/>
      </patternFill>
    </fill>
    <fill>
      <patternFill patternType="solid">
        <fgColor theme="0" tint="-0.249977111117893"/>
        <bgColor rgb="FFC0C0C0"/>
      </patternFill>
    </fill>
    <fill>
      <patternFill patternType="solid">
        <fgColor theme="0" tint="-0.249977111117893"/>
        <bgColor rgb="FFBFBFBF"/>
      </patternFill>
    </fill>
    <fill>
      <patternFill patternType="solid">
        <fgColor rgb="FFC6D9F0"/>
        <bgColor indexed="64"/>
      </patternFill>
    </fill>
    <fill>
      <patternFill patternType="solid">
        <fgColor rgb="FFDBE5F1"/>
        <bgColor indexed="64"/>
      </patternFill>
    </fill>
    <fill>
      <patternFill patternType="solid">
        <fgColor rgb="FFFFFFFF"/>
        <bgColor indexed="64"/>
      </patternFill>
    </fill>
    <fill>
      <patternFill patternType="solid">
        <fgColor rgb="FFFDE9D9"/>
        <bgColor indexed="64"/>
      </patternFill>
    </fill>
    <fill>
      <patternFill patternType="solid">
        <fgColor rgb="FFE5DFEC"/>
        <bgColor indexed="64"/>
      </patternFill>
    </fill>
    <fill>
      <patternFill patternType="solid">
        <fgColor rgb="FFEAF1DD"/>
        <bgColor indexed="64"/>
      </patternFill>
    </fill>
    <fill>
      <patternFill patternType="solid">
        <fgColor rgb="FFD8D8D8"/>
        <bgColor indexed="64"/>
      </patternFill>
    </fill>
    <fill>
      <patternFill patternType="solid">
        <fgColor rgb="FFBFBFBF"/>
        <bgColor indexed="64"/>
      </patternFill>
    </fill>
  </fills>
  <borders count="114">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double">
        <color rgb="FF000000"/>
      </right>
      <top style="thin">
        <color rgb="FF000000"/>
      </top>
      <bottom/>
      <diagonal/>
    </border>
    <border>
      <left style="double">
        <color rgb="FF000000"/>
      </left>
      <right/>
      <top style="thin">
        <color rgb="FF000000"/>
      </top>
      <bottom/>
      <diagonal/>
    </border>
    <border>
      <left style="double">
        <color rgb="FF000000"/>
      </left>
      <right/>
      <top style="thin">
        <color rgb="FF000000"/>
      </top>
      <bottom/>
      <diagonal/>
    </border>
    <border>
      <left style="double">
        <color rgb="FF000000"/>
      </left>
      <right style="double">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double">
        <color rgb="FF000000"/>
      </left>
      <right style="double">
        <color rgb="FF000000"/>
      </right>
      <top/>
      <bottom/>
      <diagonal/>
    </border>
    <border>
      <left style="double">
        <color rgb="FF000000"/>
      </left>
      <right style="double">
        <color rgb="FF000000"/>
      </right>
      <top style="double">
        <color rgb="FF000000"/>
      </top>
      <bottom style="thin">
        <color rgb="FF000000"/>
      </bottom>
      <diagonal/>
    </border>
    <border>
      <left style="thin">
        <color rgb="FF000000"/>
      </left>
      <right style="medium">
        <color rgb="FF000000"/>
      </right>
      <top/>
      <bottom style="thin">
        <color rgb="FF000000"/>
      </bottom>
      <diagonal/>
    </border>
    <border>
      <left style="double">
        <color rgb="FF000000"/>
      </left>
      <right style="double">
        <color rgb="FF000000"/>
      </right>
      <top style="thin">
        <color rgb="FF000000"/>
      </top>
      <bottom/>
      <diagonal/>
    </border>
    <border>
      <left style="double">
        <color rgb="FF000000"/>
      </left>
      <right style="double">
        <color rgb="FF000000"/>
      </right>
      <top style="thin">
        <color rgb="FF000000"/>
      </top>
      <bottom/>
      <diagonal/>
    </border>
    <border>
      <left style="double">
        <color rgb="FF000000"/>
      </left>
      <right style="medium">
        <color rgb="FF000000"/>
      </right>
      <top style="thin">
        <color rgb="FF000000"/>
      </top>
      <bottom style="thin">
        <color rgb="FF000000"/>
      </bottom>
      <diagonal/>
    </border>
    <border>
      <left style="double">
        <color rgb="FF000000"/>
      </left>
      <right style="double">
        <color rgb="FF000000"/>
      </right>
      <top/>
      <bottom style="thin">
        <color rgb="FF000000"/>
      </bottom>
      <diagonal/>
    </border>
    <border>
      <left/>
      <right style="thin">
        <color rgb="FF000000"/>
      </right>
      <top style="medium">
        <color rgb="FF000000"/>
      </top>
      <bottom style="medium">
        <color rgb="FF000000"/>
      </bottom>
      <diagonal/>
    </border>
    <border>
      <left style="double">
        <color rgb="FF000000"/>
      </left>
      <right style="double">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double">
        <color rgb="FF000000"/>
      </right>
      <top/>
      <bottom style="medium">
        <color rgb="FF000000"/>
      </bottom>
      <diagonal/>
    </border>
    <border>
      <left style="double">
        <color rgb="FF000000"/>
      </left>
      <right style="double">
        <color rgb="FF000000"/>
      </right>
      <top style="medium">
        <color rgb="FF000000"/>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CCCCCC"/>
      </top>
      <bottom style="medium">
        <color rgb="FF000000"/>
      </bottom>
      <diagonal/>
    </border>
  </borders>
  <cellStyleXfs count="3">
    <xf numFmtId="0" fontId="0" fillId="0" borderId="0"/>
    <xf numFmtId="43" fontId="24" fillId="0" borderId="0" applyFont="0" applyFill="0" applyBorder="0" applyAlignment="0" applyProtection="0"/>
    <xf numFmtId="0" fontId="59" fillId="0" borderId="8"/>
  </cellStyleXfs>
  <cellXfs count="1057">
    <xf numFmtId="0" fontId="0" fillId="0" borderId="0" xfId="0" applyFont="1" applyAlignment="1"/>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3" fillId="2" borderId="4" xfId="0" applyFont="1" applyFill="1" applyBorder="1"/>
    <xf numFmtId="0" fontId="3" fillId="2" borderId="5" xfId="0" applyFont="1" applyFill="1" applyBorder="1"/>
    <xf numFmtId="0" fontId="4" fillId="2" borderId="5" xfId="0" applyFont="1" applyFill="1" applyBorder="1"/>
    <xf numFmtId="0" fontId="4" fillId="2" borderId="6" xfId="0" applyFont="1" applyFill="1" applyBorder="1"/>
    <xf numFmtId="0" fontId="4" fillId="0" borderId="0" xfId="0" applyFont="1"/>
    <xf numFmtId="0" fontId="7" fillId="0" borderId="18" xfId="0" applyFont="1" applyBorder="1" applyAlignment="1">
      <alignment horizontal="center"/>
    </xf>
    <xf numFmtId="0" fontId="7" fillId="0" borderId="16" xfId="0" applyFont="1" applyBorder="1" applyAlignment="1">
      <alignment horizontal="center" wrapText="1"/>
    </xf>
    <xf numFmtId="0" fontId="7" fillId="0" borderId="20" xfId="0" applyFont="1" applyBorder="1" applyAlignment="1">
      <alignment horizontal="center" wrapText="1"/>
    </xf>
    <xf numFmtId="164" fontId="4" fillId="0" borderId="21" xfId="0" applyNumberFormat="1" applyFont="1" applyBorder="1"/>
    <xf numFmtId="0" fontId="7" fillId="0" borderId="18" xfId="0" applyFont="1" applyBorder="1" applyAlignment="1">
      <alignment horizontal="left"/>
    </xf>
    <xf numFmtId="0" fontId="4" fillId="0" borderId="18" xfId="0" applyFont="1" applyBorder="1"/>
    <xf numFmtId="3" fontId="7" fillId="0" borderId="18" xfId="0" applyNumberFormat="1" applyFont="1" applyBorder="1"/>
    <xf numFmtId="3" fontId="4" fillId="0" borderId="18" xfId="0" applyNumberFormat="1" applyFont="1" applyBorder="1"/>
    <xf numFmtId="0" fontId="4" fillId="0" borderId="20" xfId="0" applyFont="1" applyBorder="1"/>
    <xf numFmtId="0" fontId="4" fillId="0" borderId="18" xfId="0" applyFont="1" applyBorder="1" applyAlignment="1">
      <alignment horizontal="left"/>
    </xf>
    <xf numFmtId="0" fontId="4" fillId="0" borderId="18" xfId="0" applyFont="1" applyBorder="1" applyAlignment="1">
      <alignment horizontal="left" wrapText="1"/>
    </xf>
    <xf numFmtId="0" fontId="4" fillId="0" borderId="18" xfId="0" quotePrefix="1" applyFont="1" applyBorder="1" applyAlignment="1">
      <alignment horizontal="center"/>
    </xf>
    <xf numFmtId="0" fontId="4" fillId="0" borderId="18" xfId="0" applyFont="1" applyBorder="1" applyAlignment="1">
      <alignment horizontal="right"/>
    </xf>
    <xf numFmtId="164" fontId="4" fillId="0" borderId="21" xfId="0" applyNumberFormat="1" applyFont="1" applyBorder="1" applyAlignment="1">
      <alignment vertical="center"/>
    </xf>
    <xf numFmtId="164" fontId="7" fillId="0" borderId="18" xfId="0" applyNumberFormat="1" applyFont="1" applyBorder="1" applyAlignment="1">
      <alignment horizontal="left" vertical="center" wrapText="1"/>
    </xf>
    <xf numFmtId="0" fontId="4" fillId="0" borderId="18" xfId="0" applyFont="1" applyBorder="1" applyAlignment="1">
      <alignment vertical="center" wrapText="1"/>
    </xf>
    <xf numFmtId="0" fontId="4" fillId="0" borderId="18" xfId="0" quotePrefix="1" applyFont="1" applyBorder="1" applyAlignment="1">
      <alignment horizontal="center" vertical="center"/>
    </xf>
    <xf numFmtId="0" fontId="4" fillId="0" borderId="18" xfId="0" applyFont="1" applyBorder="1" applyAlignment="1">
      <alignment horizontal="right" vertical="center"/>
    </xf>
    <xf numFmtId="3" fontId="7" fillId="0" borderId="18" xfId="0" applyNumberFormat="1" applyFont="1" applyBorder="1" applyAlignment="1">
      <alignment vertical="center"/>
    </xf>
    <xf numFmtId="4" fontId="4" fillId="0" borderId="18" xfId="0" applyNumberFormat="1" applyFont="1" applyBorder="1" applyAlignment="1">
      <alignment horizontal="right" vertical="center"/>
    </xf>
    <xf numFmtId="3" fontId="4" fillId="0" borderId="18" xfId="0" applyNumberFormat="1" applyFont="1" applyBorder="1" applyAlignment="1">
      <alignment vertical="center"/>
    </xf>
    <xf numFmtId="164" fontId="4" fillId="0" borderId="18" xfId="0" applyNumberFormat="1" applyFont="1" applyBorder="1" applyAlignment="1">
      <alignment vertical="center"/>
    </xf>
    <xf numFmtId="0" fontId="4" fillId="0" borderId="18" xfId="0" applyFont="1" applyBorder="1" applyAlignment="1">
      <alignment wrapText="1"/>
    </xf>
    <xf numFmtId="3" fontId="4" fillId="0" borderId="18" xfId="0" applyNumberFormat="1" applyFont="1" applyBorder="1" applyAlignment="1">
      <alignment horizontal="right"/>
    </xf>
    <xf numFmtId="0" fontId="4" fillId="0" borderId="20" xfId="0" applyFont="1" applyBorder="1" applyAlignment="1">
      <alignment wrapText="1"/>
    </xf>
    <xf numFmtId="164" fontId="4" fillId="0" borderId="18" xfId="0" applyNumberFormat="1" applyFont="1" applyBorder="1" applyAlignment="1">
      <alignment horizontal="left" vertical="center"/>
    </xf>
    <xf numFmtId="3" fontId="4" fillId="0" borderId="18" xfId="0" applyNumberFormat="1" applyFont="1" applyBorder="1" applyAlignment="1">
      <alignment horizontal="center" vertical="center"/>
    </xf>
    <xf numFmtId="3" fontId="4" fillId="0" borderId="18" xfId="0" applyNumberFormat="1" applyFont="1" applyBorder="1" applyAlignment="1">
      <alignment horizontal="right" vertical="center"/>
    </xf>
    <xf numFmtId="164" fontId="4" fillId="0" borderId="18" xfId="0" applyNumberFormat="1" applyFont="1" applyBorder="1" applyAlignment="1">
      <alignment horizontal="center" vertical="center"/>
    </xf>
    <xf numFmtId="0" fontId="4" fillId="0" borderId="20" xfId="0" applyFont="1" applyBorder="1" applyAlignment="1">
      <alignment horizontal="left" vertical="center" wrapText="1"/>
    </xf>
    <xf numFmtId="1" fontId="4" fillId="0" borderId="18" xfId="0" applyNumberFormat="1" applyFont="1" applyBorder="1" applyAlignment="1">
      <alignment horizontal="right" vertical="center"/>
    </xf>
    <xf numFmtId="3" fontId="4" fillId="0" borderId="18" xfId="0" applyNumberFormat="1" applyFont="1" applyBorder="1" applyAlignment="1">
      <alignment horizontal="left" vertical="center"/>
    </xf>
    <xf numFmtId="0" fontId="4" fillId="0" borderId="20" xfId="0" applyFont="1" applyBorder="1" applyAlignment="1">
      <alignment horizontal="center" vertical="center"/>
    </xf>
    <xf numFmtId="0" fontId="4" fillId="0" borderId="18" xfId="0" applyFont="1" applyBorder="1" applyAlignment="1">
      <alignment horizontal="left" vertical="center" wrapText="1"/>
    </xf>
    <xf numFmtId="3" fontId="4" fillId="0" borderId="0" xfId="0" applyNumberFormat="1" applyFont="1"/>
    <xf numFmtId="164" fontId="4" fillId="0" borderId="16" xfId="0" applyNumberFormat="1" applyFont="1" applyBorder="1" applyAlignment="1">
      <alignment vertical="center"/>
    </xf>
    <xf numFmtId="164" fontId="4" fillId="0" borderId="17" xfId="0" applyNumberFormat="1" applyFont="1" applyBorder="1" applyAlignment="1">
      <alignment vertical="center"/>
    </xf>
    <xf numFmtId="0" fontId="4" fillId="0" borderId="17" xfId="0" applyFont="1" applyBorder="1" applyAlignment="1">
      <alignment horizontal="left" vertical="center" wrapText="1"/>
    </xf>
    <xf numFmtId="0" fontId="4" fillId="0" borderId="17" xfId="0" applyFont="1" applyBorder="1" applyAlignment="1">
      <alignment horizontal="right" vertical="center"/>
    </xf>
    <xf numFmtId="164" fontId="4" fillId="0" borderId="17" xfId="0" applyNumberFormat="1"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center" vertical="center"/>
    </xf>
    <xf numFmtId="3" fontId="7" fillId="0" borderId="18" xfId="0" applyNumberFormat="1" applyFont="1" applyBorder="1" applyAlignment="1">
      <alignment horizontal="right" vertical="center"/>
    </xf>
    <xf numFmtId="0" fontId="4" fillId="0" borderId="18" xfId="0" applyFont="1" applyBorder="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left" vertical="center"/>
    </xf>
    <xf numFmtId="164" fontId="4" fillId="0" borderId="18" xfId="0" applyNumberFormat="1" applyFont="1" applyBorder="1" applyAlignment="1">
      <alignment horizontal="left" vertical="center" wrapText="1"/>
    </xf>
    <xf numFmtId="0" fontId="9" fillId="0" borderId="18" xfId="0" applyFont="1" applyBorder="1" applyAlignment="1">
      <alignment horizontal="left" vertical="center" wrapText="1"/>
    </xf>
    <xf numFmtId="0" fontId="9" fillId="0" borderId="20" xfId="0" applyFont="1" applyBorder="1" applyAlignment="1">
      <alignment horizontal="left" vertical="center" wrapText="1"/>
    </xf>
    <xf numFmtId="164" fontId="4" fillId="0" borderId="22" xfId="0" applyNumberFormat="1" applyFont="1" applyBorder="1" applyAlignment="1">
      <alignment vertical="center"/>
    </xf>
    <xf numFmtId="164" fontId="4" fillId="0" borderId="11" xfId="0" applyNumberFormat="1" applyFont="1" applyBorder="1" applyAlignment="1">
      <alignment horizontal="left" vertical="center"/>
    </xf>
    <xf numFmtId="0" fontId="4" fillId="0" borderId="11" xfId="0" applyFont="1" applyBorder="1" applyAlignment="1">
      <alignment horizontal="left" vertical="center"/>
    </xf>
    <xf numFmtId="0" fontId="4" fillId="0" borderId="11" xfId="0" applyFont="1" applyBorder="1" applyAlignment="1">
      <alignment horizontal="center" vertical="center"/>
    </xf>
    <xf numFmtId="0" fontId="4" fillId="0" borderId="11" xfId="0" applyFont="1" applyBorder="1" applyAlignment="1">
      <alignment horizontal="right" vertical="center"/>
    </xf>
    <xf numFmtId="3" fontId="4" fillId="0" borderId="11" xfId="0" applyNumberFormat="1" applyFont="1" applyBorder="1" applyAlignment="1">
      <alignment horizontal="center" vertical="center"/>
    </xf>
    <xf numFmtId="3" fontId="4" fillId="0" borderId="11" xfId="0" applyNumberFormat="1" applyFont="1" applyBorder="1" applyAlignment="1">
      <alignment horizontal="right" vertical="center"/>
    </xf>
    <xf numFmtId="0" fontId="4" fillId="0" borderId="15" xfId="0" applyFont="1" applyBorder="1" applyAlignment="1">
      <alignment horizontal="center" vertical="center"/>
    </xf>
    <xf numFmtId="164" fontId="4" fillId="0" borderId="23" xfId="0" applyNumberFormat="1" applyFont="1" applyBorder="1" applyAlignment="1">
      <alignment vertical="center"/>
    </xf>
    <xf numFmtId="164" fontId="7" fillId="0" borderId="23" xfId="0" applyNumberFormat="1" applyFont="1" applyBorder="1" applyAlignment="1">
      <alignment horizontal="center" vertical="center"/>
    </xf>
    <xf numFmtId="0" fontId="4" fillId="0" borderId="23" xfId="0" applyFont="1" applyBorder="1" applyAlignment="1">
      <alignment horizontal="left" vertical="center"/>
    </xf>
    <xf numFmtId="0" fontId="4" fillId="0" borderId="23" xfId="0" applyFont="1" applyBorder="1" applyAlignment="1">
      <alignment horizontal="center" vertical="center"/>
    </xf>
    <xf numFmtId="0" fontId="4" fillId="0" borderId="23" xfId="0" applyFont="1" applyBorder="1" applyAlignment="1">
      <alignment horizontal="right" vertical="center"/>
    </xf>
    <xf numFmtId="3" fontId="7" fillId="0" borderId="23" xfId="0" applyNumberFormat="1" applyFont="1" applyBorder="1" applyAlignment="1">
      <alignment horizontal="center" vertical="center"/>
    </xf>
    <xf numFmtId="164" fontId="7" fillId="0" borderId="21" xfId="0" applyNumberFormat="1" applyFont="1" applyBorder="1" applyAlignment="1">
      <alignment vertical="center"/>
    </xf>
    <xf numFmtId="164" fontId="7" fillId="0" borderId="12" xfId="0" applyNumberFormat="1" applyFont="1" applyBorder="1" applyAlignment="1">
      <alignment horizontal="left" vertical="center"/>
    </xf>
    <xf numFmtId="0" fontId="2" fillId="0" borderId="39" xfId="0" applyFont="1" applyBorder="1"/>
    <xf numFmtId="0" fontId="2" fillId="0" borderId="40" xfId="0" applyFont="1" applyBorder="1"/>
    <xf numFmtId="0" fontId="2" fillId="0" borderId="41" xfId="0" applyFont="1" applyBorder="1"/>
    <xf numFmtId="0" fontId="10" fillId="0" borderId="18" xfId="0" applyFont="1" applyBorder="1"/>
    <xf numFmtId="0" fontId="2" fillId="0" borderId="20" xfId="0" applyFont="1" applyBorder="1"/>
    <xf numFmtId="0" fontId="10" fillId="0" borderId="18" xfId="0" applyFont="1" applyBorder="1" applyAlignment="1">
      <alignment vertical="center"/>
    </xf>
    <xf numFmtId="0" fontId="10" fillId="0" borderId="18" xfId="0" applyFont="1" applyBorder="1" applyAlignment="1">
      <alignment wrapText="1"/>
    </xf>
    <xf numFmtId="3" fontId="10" fillId="0" borderId="18" xfId="0" applyNumberFormat="1" applyFont="1" applyBorder="1"/>
    <xf numFmtId="3" fontId="10" fillId="0" borderId="18" xfId="0" applyNumberFormat="1" applyFont="1" applyBorder="1" applyAlignment="1">
      <alignment vertical="center"/>
    </xf>
    <xf numFmtId="0" fontId="11" fillId="0" borderId="20" xfId="0" applyFont="1" applyBorder="1" applyAlignment="1">
      <alignment horizontal="left" vertical="center" wrapText="1"/>
    </xf>
    <xf numFmtId="0" fontId="10" fillId="0" borderId="18" xfId="0" applyFont="1" applyBorder="1" applyAlignment="1">
      <alignment vertical="center" wrapText="1"/>
    </xf>
    <xf numFmtId="3" fontId="2" fillId="0" borderId="0" xfId="0" applyNumberFormat="1" applyFont="1"/>
    <xf numFmtId="0" fontId="10" fillId="0" borderId="18" xfId="0" applyFont="1" applyBorder="1" applyAlignment="1">
      <alignment horizontal="right"/>
    </xf>
    <xf numFmtId="3" fontId="8" fillId="0" borderId="18" xfId="0" applyNumberFormat="1" applyFont="1" applyBorder="1"/>
    <xf numFmtId="0" fontId="10" fillId="0" borderId="18" xfId="0" applyFont="1" applyBorder="1" applyAlignment="1">
      <alignment horizontal="left" vertical="center"/>
    </xf>
    <xf numFmtId="0" fontId="12" fillId="0" borderId="20" xfId="0" applyFont="1" applyBorder="1" applyAlignment="1">
      <alignment horizontal="left" vertical="center" wrapText="1"/>
    </xf>
    <xf numFmtId="3" fontId="4" fillId="0" borderId="18" xfId="0" applyNumberFormat="1" applyFont="1" applyBorder="1" applyAlignment="1">
      <alignment horizontal="right" vertical="center" wrapText="1"/>
    </xf>
    <xf numFmtId="0" fontId="4" fillId="0" borderId="11" xfId="0" applyFont="1" applyBorder="1" applyAlignment="1">
      <alignment horizontal="left" wrapText="1"/>
    </xf>
    <xf numFmtId="0" fontId="4" fillId="0" borderId="11" xfId="0" quotePrefix="1" applyFont="1" applyBorder="1" applyAlignment="1">
      <alignment horizontal="center" vertical="center"/>
    </xf>
    <xf numFmtId="3" fontId="7" fillId="0" borderId="11" xfId="0" applyNumberFormat="1" applyFont="1" applyBorder="1"/>
    <xf numFmtId="3" fontId="4" fillId="0" borderId="11" xfId="0" applyNumberFormat="1" applyFont="1" applyBorder="1" applyAlignment="1">
      <alignment vertical="center"/>
    </xf>
    <xf numFmtId="3" fontId="4" fillId="0" borderId="11" xfId="0" applyNumberFormat="1" applyFont="1" applyBorder="1"/>
    <xf numFmtId="0" fontId="4" fillId="0" borderId="15" xfId="0" applyFont="1" applyBorder="1"/>
    <xf numFmtId="0" fontId="4" fillId="0" borderId="23" xfId="0" applyFont="1" applyBorder="1" applyAlignment="1">
      <alignment horizontal="left" wrapText="1"/>
    </xf>
    <xf numFmtId="3" fontId="7" fillId="0" borderId="23" xfId="0" applyNumberFormat="1" applyFont="1" applyBorder="1"/>
    <xf numFmtId="0" fontId="4" fillId="0" borderId="23" xfId="0" applyFont="1" applyBorder="1"/>
    <xf numFmtId="3" fontId="7" fillId="0" borderId="23" xfId="0" applyNumberFormat="1" applyFont="1" applyBorder="1" applyAlignment="1">
      <alignment horizontal="right" vertical="center"/>
    </xf>
    <xf numFmtId="164" fontId="4" fillId="0" borderId="31" xfId="0" applyNumberFormat="1" applyFont="1" applyBorder="1" applyAlignment="1">
      <alignment vertical="center"/>
    </xf>
    <xf numFmtId="164" fontId="7" fillId="0" borderId="0" xfId="0" applyNumberFormat="1"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right" vertical="center"/>
    </xf>
    <xf numFmtId="3" fontId="7" fillId="0" borderId="0" xfId="0" applyNumberFormat="1" applyFont="1" applyAlignment="1">
      <alignment horizontal="right" vertical="center"/>
    </xf>
    <xf numFmtId="0" fontId="4" fillId="0" borderId="32" xfId="0" applyFont="1" applyBorder="1" applyAlignment="1">
      <alignment horizontal="center" vertical="center"/>
    </xf>
    <xf numFmtId="164" fontId="7" fillId="0" borderId="16" xfId="0" applyNumberFormat="1" applyFont="1" applyBorder="1" applyAlignment="1">
      <alignment vertical="center"/>
    </xf>
    <xf numFmtId="164" fontId="7" fillId="0" borderId="42" xfId="0" applyNumberFormat="1" applyFont="1" applyBorder="1" applyAlignment="1">
      <alignment horizontal="left" vertical="center"/>
    </xf>
    <xf numFmtId="0" fontId="2" fillId="0" borderId="16" xfId="0" applyFont="1" applyBorder="1"/>
    <xf numFmtId="0" fontId="2" fillId="0" borderId="17" xfId="0" applyFont="1" applyBorder="1"/>
    <xf numFmtId="0" fontId="2" fillId="0" borderId="42" xfId="0" applyFont="1" applyBorder="1"/>
    <xf numFmtId="3" fontId="7" fillId="0" borderId="12" xfId="0" applyNumberFormat="1" applyFont="1" applyBorder="1"/>
    <xf numFmtId="3" fontId="4" fillId="0" borderId="12" xfId="0" applyNumberFormat="1" applyFont="1" applyBorder="1"/>
    <xf numFmtId="0" fontId="4" fillId="0" borderId="20" xfId="0" applyFont="1" applyBorder="1" applyAlignment="1">
      <alignment vertical="center" wrapText="1"/>
    </xf>
    <xf numFmtId="0" fontId="4" fillId="4" borderId="20" xfId="0" applyFont="1" applyFill="1" applyBorder="1" applyAlignment="1">
      <alignment vertical="center" wrapText="1"/>
    </xf>
    <xf numFmtId="0" fontId="9" fillId="0" borderId="20" xfId="0" applyFont="1" applyBorder="1" applyAlignment="1">
      <alignment vertical="center" wrapText="1"/>
    </xf>
    <xf numFmtId="0" fontId="9" fillId="0" borderId="18" xfId="0" applyFont="1" applyBorder="1" applyAlignment="1">
      <alignment vertical="center" wrapText="1"/>
    </xf>
    <xf numFmtId="3" fontId="4" fillId="0" borderId="46" xfId="0" applyNumberFormat="1" applyFont="1" applyBorder="1"/>
    <xf numFmtId="0" fontId="4" fillId="0" borderId="15" xfId="0" applyFont="1" applyBorder="1" applyAlignment="1">
      <alignment vertical="center"/>
    </xf>
    <xf numFmtId="164" fontId="7" fillId="0" borderId="23" xfId="0" applyNumberFormat="1" applyFont="1" applyBorder="1" applyAlignment="1">
      <alignment horizontal="left" vertical="center"/>
    </xf>
    <xf numFmtId="3" fontId="10" fillId="0" borderId="12" xfId="0" applyNumberFormat="1" applyFont="1" applyBorder="1"/>
    <xf numFmtId="0" fontId="4" fillId="0" borderId="20" xfId="0" applyFont="1" applyBorder="1" applyAlignment="1">
      <alignment vertical="center"/>
    </xf>
    <xf numFmtId="0" fontId="10" fillId="0" borderId="18" xfId="0" applyFont="1" applyBorder="1" applyAlignment="1">
      <alignment horizontal="center" vertical="center"/>
    </xf>
    <xf numFmtId="0" fontId="7" fillId="0" borderId="18" xfId="0" applyFont="1" applyBorder="1" applyAlignment="1">
      <alignment horizontal="center" wrapText="1"/>
    </xf>
    <xf numFmtId="164" fontId="4" fillId="0" borderId="50" xfId="0" applyNumberFormat="1" applyFont="1" applyBorder="1" applyAlignment="1">
      <alignment vertical="center"/>
    </xf>
    <xf numFmtId="164" fontId="7" fillId="0" borderId="51" xfId="0" applyNumberFormat="1" applyFont="1" applyBorder="1" applyAlignment="1">
      <alignment horizontal="center" vertical="center"/>
    </xf>
    <xf numFmtId="0" fontId="4" fillId="0" borderId="51" xfId="0" applyFont="1" applyBorder="1" applyAlignment="1">
      <alignment horizontal="left" vertical="center"/>
    </xf>
    <xf numFmtId="0" fontId="4" fillId="0" borderId="51" xfId="0" applyFont="1" applyBorder="1" applyAlignment="1">
      <alignment horizontal="center" vertical="center"/>
    </xf>
    <xf numFmtId="0" fontId="4" fillId="0" borderId="51" xfId="0" applyFont="1" applyBorder="1" applyAlignment="1">
      <alignment horizontal="right" vertical="center"/>
    </xf>
    <xf numFmtId="3" fontId="7" fillId="0" borderId="51" xfId="0" applyNumberFormat="1" applyFont="1" applyBorder="1" applyAlignment="1">
      <alignment horizontal="right" vertical="center"/>
    </xf>
    <xf numFmtId="0" fontId="4" fillId="0" borderId="52" xfId="0" applyFont="1" applyBorder="1"/>
    <xf numFmtId="164" fontId="7" fillId="0" borderId="0" xfId="0" applyNumberFormat="1" applyFont="1" applyAlignment="1">
      <alignment vertical="center"/>
    </xf>
    <xf numFmtId="164" fontId="7" fillId="0" borderId="0" xfId="0" applyNumberFormat="1" applyFont="1" applyAlignment="1">
      <alignment horizontal="left" vertical="center"/>
    </xf>
    <xf numFmtId="0" fontId="7" fillId="0" borderId="0" xfId="0" applyFont="1"/>
    <xf numFmtId="0" fontId="8" fillId="0" borderId="0" xfId="0" applyFont="1"/>
    <xf numFmtId="0" fontId="2" fillId="0" borderId="12" xfId="0" applyFont="1" applyBorder="1"/>
    <xf numFmtId="0" fontId="2" fillId="0" borderId="13" xfId="0" applyFont="1" applyBorder="1"/>
    <xf numFmtId="0" fontId="2" fillId="0" borderId="27" xfId="0" applyFont="1" applyBorder="1"/>
    <xf numFmtId="0" fontId="4" fillId="0" borderId="21" xfId="0" applyFont="1" applyBorder="1"/>
    <xf numFmtId="164" fontId="4" fillId="0" borderId="21" xfId="0" quotePrefix="1" applyNumberFormat="1" applyFont="1" applyBorder="1"/>
    <xf numFmtId="0" fontId="4" fillId="0" borderId="18" xfId="0" applyFont="1" applyBorder="1" applyAlignment="1">
      <alignment horizontal="center"/>
    </xf>
    <xf numFmtId="3" fontId="7" fillId="0" borderId="18" xfId="0" applyNumberFormat="1" applyFont="1" applyBorder="1" applyAlignment="1">
      <alignment horizontal="center" vertical="center"/>
    </xf>
    <xf numFmtId="4" fontId="4" fillId="0" borderId="18" xfId="0" applyNumberFormat="1" applyFont="1" applyBorder="1"/>
    <xf numFmtId="164" fontId="4" fillId="0" borderId="18" xfId="0" applyNumberFormat="1" applyFont="1" applyBorder="1"/>
    <xf numFmtId="0" fontId="4" fillId="0" borderId="18" xfId="0" applyFont="1" applyBorder="1" applyAlignment="1">
      <alignment horizontal="center" wrapText="1"/>
    </xf>
    <xf numFmtId="164" fontId="4" fillId="0" borderId="10" xfId="0" applyNumberFormat="1" applyFont="1" applyBorder="1"/>
    <xf numFmtId="164" fontId="4" fillId="0" borderId="11" xfId="0" applyNumberFormat="1" applyFont="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right"/>
    </xf>
    <xf numFmtId="0" fontId="4" fillId="0" borderId="15" xfId="0" applyFont="1" applyBorder="1" applyAlignment="1">
      <alignment wrapText="1"/>
    </xf>
    <xf numFmtId="164" fontId="4" fillId="0" borderId="23" xfId="0" applyNumberFormat="1" applyFont="1" applyBorder="1"/>
    <xf numFmtId="0" fontId="4" fillId="0" borderId="23" xfId="0" applyFont="1" applyBorder="1" applyAlignment="1">
      <alignment horizontal="center"/>
    </xf>
    <xf numFmtId="0" fontId="4" fillId="0" borderId="23" xfId="0" applyFont="1" applyBorder="1" applyAlignment="1">
      <alignment horizontal="right"/>
    </xf>
    <xf numFmtId="3" fontId="7" fillId="0" borderId="23" xfId="0" applyNumberFormat="1" applyFont="1" applyBorder="1" applyAlignment="1">
      <alignment vertical="center"/>
    </xf>
    <xf numFmtId="0" fontId="2" fillId="0" borderId="23" xfId="0" applyFont="1" applyBorder="1"/>
    <xf numFmtId="0" fontId="7" fillId="0" borderId="18" xfId="0" applyFont="1" applyBorder="1" applyAlignment="1">
      <alignment horizontal="center" vertical="center" wrapText="1"/>
    </xf>
    <xf numFmtId="164" fontId="4" fillId="0" borderId="18" xfId="0" applyNumberFormat="1" applyFont="1" applyBorder="1" applyAlignment="1">
      <alignment wrapText="1"/>
    </xf>
    <xf numFmtId="164" fontId="4" fillId="0" borderId="50" xfId="0" applyNumberFormat="1" applyFont="1" applyBorder="1"/>
    <xf numFmtId="164" fontId="7" fillId="0" borderId="51" xfId="0" applyNumberFormat="1" applyFont="1" applyBorder="1"/>
    <xf numFmtId="0" fontId="4" fillId="0" borderId="51" xfId="0" applyFont="1" applyBorder="1"/>
    <xf numFmtId="0" fontId="4" fillId="0" borderId="51" xfId="0" applyFont="1" applyBorder="1" applyAlignment="1">
      <alignment horizontal="center"/>
    </xf>
    <xf numFmtId="0" fontId="4" fillId="0" borderId="51" xfId="0" applyFont="1" applyBorder="1" applyAlignment="1">
      <alignment horizontal="right"/>
    </xf>
    <xf numFmtId="3" fontId="4" fillId="0" borderId="51" xfId="0" applyNumberFormat="1" applyFont="1" applyBorder="1"/>
    <xf numFmtId="0" fontId="10" fillId="0" borderId="0" xfId="0" applyFont="1"/>
    <xf numFmtId="0" fontId="8" fillId="0" borderId="18" xfId="0" applyFont="1" applyBorder="1" applyAlignment="1">
      <alignment horizontal="center"/>
    </xf>
    <xf numFmtId="0" fontId="8" fillId="0" borderId="18" xfId="0" applyFont="1" applyBorder="1"/>
    <xf numFmtId="4" fontId="4" fillId="0" borderId="18" xfId="0" applyNumberFormat="1" applyFont="1" applyBorder="1" applyAlignment="1">
      <alignment horizontal="center"/>
    </xf>
    <xf numFmtId="0" fontId="7" fillId="0" borderId="18" xfId="0" applyFont="1" applyBorder="1" applyAlignment="1">
      <alignment wrapText="1"/>
    </xf>
    <xf numFmtId="4" fontId="7" fillId="0" borderId="18" xfId="0" applyNumberFormat="1" applyFont="1" applyBorder="1" applyAlignment="1">
      <alignment horizontal="center"/>
    </xf>
    <xf numFmtId="4" fontId="7" fillId="0" borderId="18" xfId="0" applyNumberFormat="1" applyFont="1" applyBorder="1" applyAlignment="1">
      <alignment horizontal="right"/>
    </xf>
    <xf numFmtId="0" fontId="4" fillId="0" borderId="12" xfId="0" applyFont="1" applyBorder="1" applyAlignment="1">
      <alignment wrapText="1"/>
    </xf>
    <xf numFmtId="0" fontId="4" fillId="0" borderId="12" xfId="0" applyFont="1" applyBorder="1" applyAlignment="1">
      <alignment horizontal="left" vertical="center" wrapText="1"/>
    </xf>
    <xf numFmtId="0" fontId="4" fillId="0" borderId="12" xfId="0" applyFont="1" applyBorder="1" applyAlignment="1">
      <alignment horizontal="left" vertical="center"/>
    </xf>
    <xf numFmtId="4" fontId="4" fillId="0" borderId="18" xfId="0" applyNumberFormat="1" applyFont="1" applyBorder="1" applyAlignment="1">
      <alignment horizontal="center" vertical="center"/>
    </xf>
    <xf numFmtId="4" fontId="7" fillId="0" borderId="18" xfId="0" applyNumberFormat="1" applyFont="1" applyBorder="1" applyAlignment="1">
      <alignment horizontal="center" vertical="center"/>
    </xf>
    <xf numFmtId="0" fontId="15" fillId="0" borderId="18" xfId="0" applyFont="1" applyBorder="1" applyAlignment="1">
      <alignment vertical="center" wrapText="1"/>
    </xf>
    <xf numFmtId="0" fontId="15" fillId="0" borderId="18" xfId="0" applyFont="1" applyBorder="1" applyAlignment="1">
      <alignment horizontal="left" vertical="center" wrapText="1"/>
    </xf>
    <xf numFmtId="0" fontId="15" fillId="4" borderId="18" xfId="0" applyFont="1" applyFill="1" applyBorder="1" applyAlignment="1">
      <alignment vertical="center" wrapText="1"/>
    </xf>
    <xf numFmtId="3" fontId="16" fillId="0" borderId="0" xfId="0" applyNumberFormat="1" applyFont="1"/>
    <xf numFmtId="4" fontId="2" fillId="0" borderId="0" xfId="0" applyNumberFormat="1" applyFont="1"/>
    <xf numFmtId="0" fontId="2" fillId="0" borderId="0" xfId="0" applyFont="1" applyAlignment="1">
      <alignment vertical="top" wrapText="1"/>
    </xf>
    <xf numFmtId="0" fontId="2" fillId="0" borderId="0" xfId="0" applyFont="1" applyAlignment="1">
      <alignment wrapText="1"/>
    </xf>
    <xf numFmtId="0" fontId="16" fillId="0" borderId="0" xfId="0" applyFont="1" applyAlignment="1">
      <alignment wrapText="1"/>
    </xf>
    <xf numFmtId="0" fontId="16" fillId="0" borderId="0" xfId="0" applyFont="1" applyAlignment="1">
      <alignment vertical="top" wrapText="1"/>
    </xf>
    <xf numFmtId="0" fontId="15" fillId="0" borderId="18" xfId="0" applyFont="1" applyBorder="1" applyAlignment="1">
      <alignment vertical="top" wrapText="1"/>
    </xf>
    <xf numFmtId="0" fontId="17" fillId="0" borderId="18" xfId="0" applyFont="1" applyBorder="1" applyAlignment="1">
      <alignment vertical="top" wrapText="1"/>
    </xf>
    <xf numFmtId="0" fontId="17" fillId="0" borderId="0" xfId="0" applyFont="1"/>
    <xf numFmtId="0" fontId="16" fillId="0" borderId="0" xfId="0" applyFont="1"/>
    <xf numFmtId="0" fontId="15" fillId="0" borderId="12" xfId="0" applyFont="1" applyBorder="1" applyAlignment="1">
      <alignment wrapText="1"/>
    </xf>
    <xf numFmtId="0" fontId="15" fillId="0" borderId="18" xfId="0" applyFont="1" applyBorder="1" applyAlignment="1">
      <alignment wrapText="1"/>
    </xf>
    <xf numFmtId="0" fontId="2" fillId="0" borderId="0" xfId="0" applyFont="1"/>
    <xf numFmtId="0" fontId="19" fillId="0" borderId="18" xfId="0" applyFont="1" applyBorder="1" applyAlignment="1">
      <alignment horizontal="center" wrapText="1"/>
    </xf>
    <xf numFmtId="4" fontId="15" fillId="0" borderId="0" xfId="0" applyNumberFormat="1" applyFont="1" applyAlignment="1">
      <alignment horizontal="center" vertical="center"/>
    </xf>
    <xf numFmtId="0" fontId="15" fillId="0" borderId="0" xfId="0" applyFont="1"/>
    <xf numFmtId="0" fontId="17" fillId="0" borderId="18" xfId="0" applyFont="1" applyBorder="1" applyAlignment="1">
      <alignment horizontal="center" wrapText="1"/>
    </xf>
    <xf numFmtId="0" fontId="15" fillId="6" borderId="18" xfId="0" applyFont="1" applyFill="1" applyBorder="1" applyAlignment="1">
      <alignment wrapText="1"/>
    </xf>
    <xf numFmtId="4" fontId="15" fillId="0" borderId="18" xfId="0" applyNumberFormat="1" applyFont="1" applyBorder="1" applyAlignment="1">
      <alignment horizontal="center" vertical="center" wrapText="1"/>
    </xf>
    <xf numFmtId="49" fontId="15" fillId="0" borderId="18" xfId="0" applyNumberFormat="1" applyFont="1" applyBorder="1" applyAlignment="1">
      <alignment vertical="top" wrapText="1"/>
    </xf>
    <xf numFmtId="0" fontId="15" fillId="0" borderId="18" xfId="0" applyFont="1" applyBorder="1" applyAlignment="1">
      <alignment horizontal="center" vertical="top" wrapText="1"/>
    </xf>
    <xf numFmtId="0" fontId="20" fillId="7" borderId="18" xfId="0" applyFont="1" applyFill="1" applyBorder="1" applyAlignment="1">
      <alignment wrapText="1"/>
    </xf>
    <xf numFmtId="0" fontId="15" fillId="7" borderId="18" xfId="0" applyFont="1" applyFill="1" applyBorder="1" applyAlignment="1">
      <alignment wrapText="1"/>
    </xf>
    <xf numFmtId="49" fontId="15" fillId="0" borderId="18" xfId="0" applyNumberFormat="1" applyFont="1" applyBorder="1" applyAlignment="1">
      <alignment vertical="top"/>
    </xf>
    <xf numFmtId="0" fontId="15" fillId="0" borderId="18" xfId="0" applyFont="1" applyBorder="1"/>
    <xf numFmtId="0" fontId="15" fillId="7" borderId="18" xfId="0" applyFont="1" applyFill="1" applyBorder="1"/>
    <xf numFmtId="0" fontId="15" fillId="0" borderId="18" xfId="0" applyFont="1" applyBorder="1" applyAlignment="1">
      <alignment vertical="top"/>
    </xf>
    <xf numFmtId="0" fontId="15" fillId="0" borderId="12" xfId="0" applyFont="1" applyBorder="1" applyAlignment="1">
      <alignment vertical="top" wrapText="1"/>
    </xf>
    <xf numFmtId="0" fontId="15" fillId="0" borderId="12" xfId="0" applyFont="1" applyBorder="1"/>
    <xf numFmtId="4" fontId="15" fillId="0" borderId="18" xfId="0" applyNumberFormat="1" applyFont="1" applyBorder="1" applyAlignment="1">
      <alignment horizontal="center" vertical="center"/>
    </xf>
    <xf numFmtId="49" fontId="17" fillId="0" borderId="18" xfId="0" applyNumberFormat="1" applyFont="1" applyBorder="1" applyAlignment="1">
      <alignment horizontal="center" vertical="top"/>
    </xf>
    <xf numFmtId="4" fontId="17" fillId="9" borderId="18" xfId="0" applyNumberFormat="1" applyFont="1" applyFill="1" applyBorder="1" applyAlignment="1">
      <alignment horizontal="center" vertical="center"/>
    </xf>
    <xf numFmtId="9" fontId="16" fillId="0" borderId="0" xfId="0" applyNumberFormat="1" applyFont="1"/>
    <xf numFmtId="0" fontId="15" fillId="9" borderId="18" xfId="0" applyFont="1" applyFill="1" applyBorder="1"/>
    <xf numFmtId="0" fontId="21" fillId="0" borderId="18" xfId="0" applyFont="1" applyBorder="1"/>
    <xf numFmtId="0" fontId="21" fillId="10" borderId="18" xfId="0" applyFont="1" applyFill="1" applyBorder="1"/>
    <xf numFmtId="0" fontId="15" fillId="9" borderId="18" xfId="0" applyFont="1" applyFill="1" applyBorder="1" applyAlignment="1">
      <alignment vertical="top"/>
    </xf>
    <xf numFmtId="0" fontId="15" fillId="9" borderId="54" xfId="0" applyFont="1" applyFill="1" applyBorder="1"/>
    <xf numFmtId="4" fontId="15" fillId="9" borderId="18" xfId="0" applyNumberFormat="1" applyFont="1" applyFill="1" applyBorder="1" applyAlignment="1">
      <alignment horizontal="center" vertical="center"/>
    </xf>
    <xf numFmtId="0" fontId="20" fillId="7" borderId="18" xfId="0" applyFont="1" applyFill="1" applyBorder="1"/>
    <xf numFmtId="0" fontId="15" fillId="10" borderId="18" xfId="0" applyFont="1" applyFill="1" applyBorder="1"/>
    <xf numFmtId="0" fontId="17" fillId="0" borderId="18" xfId="0" applyFont="1" applyBorder="1" applyAlignment="1">
      <alignment horizontal="left" vertical="top"/>
    </xf>
    <xf numFmtId="0" fontId="15" fillId="11" borderId="18" xfId="0" applyFont="1" applyFill="1" applyBorder="1"/>
    <xf numFmtId="0" fontId="15" fillId="0" borderId="12" xfId="0" applyFont="1" applyBorder="1" applyAlignment="1">
      <alignment vertical="top"/>
    </xf>
    <xf numFmtId="0" fontId="19" fillId="0" borderId="18" xfId="0" applyFont="1" applyBorder="1" applyAlignment="1">
      <alignment horizontal="left" vertical="top"/>
    </xf>
    <xf numFmtId="0" fontId="15" fillId="12" borderId="18" xfId="0" applyFont="1" applyFill="1" applyBorder="1"/>
    <xf numFmtId="0" fontId="15" fillId="0" borderId="12" xfId="0" applyFont="1" applyBorder="1" applyAlignment="1">
      <alignment horizontal="center" vertical="top" wrapText="1"/>
    </xf>
    <xf numFmtId="0" fontId="15" fillId="0" borderId="18" xfId="0" applyFont="1" applyBorder="1" applyAlignment="1">
      <alignment horizontal="left" vertical="top"/>
    </xf>
    <xf numFmtId="0" fontId="15" fillId="7" borderId="5" xfId="0" applyFont="1" applyFill="1" applyBorder="1"/>
    <xf numFmtId="0" fontId="15" fillId="9" borderId="18" xfId="0" applyFont="1" applyFill="1" applyBorder="1" applyAlignment="1">
      <alignment vertical="top" wrapText="1"/>
    </xf>
    <xf numFmtId="0" fontId="15" fillId="9" borderId="54" xfId="0" applyFont="1" applyFill="1" applyBorder="1" applyAlignment="1">
      <alignment vertical="top" wrapText="1"/>
    </xf>
    <xf numFmtId="4" fontId="15" fillId="9" borderId="18" xfId="0" applyNumberFormat="1" applyFont="1" applyFill="1" applyBorder="1" applyAlignment="1">
      <alignment horizontal="center" vertical="center" wrapText="1"/>
    </xf>
    <xf numFmtId="4" fontId="15" fillId="9" borderId="5" xfId="0" applyNumberFormat="1" applyFont="1" applyFill="1" applyBorder="1" applyAlignment="1">
      <alignment horizontal="center" vertical="center"/>
    </xf>
    <xf numFmtId="0" fontId="15" fillId="9" borderId="5" xfId="0" applyFont="1" applyFill="1" applyBorder="1"/>
    <xf numFmtId="0" fontId="2" fillId="9" borderId="5" xfId="0" applyFont="1" applyFill="1" applyBorder="1"/>
    <xf numFmtId="0" fontId="18" fillId="0" borderId="18" xfId="0" applyFont="1" applyBorder="1" applyAlignment="1">
      <alignment horizontal="left" vertical="top"/>
    </xf>
    <xf numFmtId="0" fontId="15" fillId="0" borderId="18" xfId="0" applyFont="1" applyBorder="1" applyAlignment="1">
      <alignment horizontal="left" vertical="top" wrapText="1"/>
    </xf>
    <xf numFmtId="0" fontId="17" fillId="0" borderId="18" xfId="0" applyFont="1" applyBorder="1" applyAlignment="1">
      <alignment vertical="top"/>
    </xf>
    <xf numFmtId="0" fontId="22" fillId="9" borderId="18" xfId="0" applyFont="1" applyFill="1" applyBorder="1"/>
    <xf numFmtId="0" fontId="20" fillId="9" borderId="18" xfId="0" applyFont="1" applyFill="1" applyBorder="1"/>
    <xf numFmtId="0" fontId="23" fillId="7" borderId="18" xfId="0" applyFont="1" applyFill="1" applyBorder="1"/>
    <xf numFmtId="4" fontId="17" fillId="9" borderId="18" xfId="0" applyNumberFormat="1" applyFont="1" applyFill="1" applyBorder="1" applyAlignment="1">
      <alignment horizontal="center" vertical="center" wrapText="1"/>
    </xf>
    <xf numFmtId="9" fontId="2" fillId="0" borderId="0" xfId="0" applyNumberFormat="1" applyFont="1"/>
    <xf numFmtId="0" fontId="15" fillId="9" borderId="54" xfId="0" applyFont="1" applyFill="1" applyBorder="1" applyAlignment="1">
      <alignment vertical="top"/>
    </xf>
    <xf numFmtId="0" fontId="24" fillId="0" borderId="0" xfId="0" applyFont="1"/>
    <xf numFmtId="0" fontId="15" fillId="0" borderId="0" xfId="0" applyFont="1" applyAlignment="1">
      <alignment vertical="top"/>
    </xf>
    <xf numFmtId="0" fontId="2" fillId="0" borderId="0" xfId="0" applyFont="1" applyAlignment="1">
      <alignment vertical="top"/>
    </xf>
    <xf numFmtId="0" fontId="17" fillId="7" borderId="18" xfId="0" applyFont="1" applyFill="1" applyBorder="1" applyAlignment="1">
      <alignment vertical="top" wrapText="1"/>
    </xf>
    <xf numFmtId="0" fontId="17" fillId="9" borderId="18" xfId="0" applyFont="1" applyFill="1" applyBorder="1" applyAlignment="1">
      <alignment vertical="top" wrapText="1"/>
    </xf>
    <xf numFmtId="0" fontId="17" fillId="0" borderId="18" xfId="0" applyFont="1" applyBorder="1" applyAlignment="1">
      <alignment vertical="top" wrapText="1"/>
    </xf>
    <xf numFmtId="0" fontId="17" fillId="0" borderId="18" xfId="0" applyFont="1" applyBorder="1" applyAlignment="1">
      <alignment horizontal="center" vertical="center" wrapText="1"/>
    </xf>
    <xf numFmtId="0" fontId="17" fillId="7" borderId="18" xfId="0" applyFont="1" applyFill="1" applyBorder="1" applyAlignment="1">
      <alignment horizontal="center" vertical="center" wrapText="1"/>
    </xf>
    <xf numFmtId="0" fontId="17" fillId="9" borderId="18" xfId="0" applyFont="1" applyFill="1" applyBorder="1" applyAlignment="1">
      <alignment horizontal="center" vertical="center" wrapText="1"/>
    </xf>
    <xf numFmtId="4" fontId="17" fillId="0" borderId="14" xfId="0" applyNumberFormat="1" applyFont="1" applyBorder="1" applyAlignment="1">
      <alignment horizontal="center" vertical="center"/>
    </xf>
    <xf numFmtId="165" fontId="15" fillId="0" borderId="0" xfId="0" applyNumberFormat="1" applyFont="1" applyAlignment="1">
      <alignment horizontal="center" vertical="center"/>
    </xf>
    <xf numFmtId="0" fontId="2" fillId="0" borderId="34" xfId="0" applyFont="1" applyBorder="1"/>
    <xf numFmtId="0" fontId="25" fillId="0" borderId="0" xfId="0" applyFont="1"/>
    <xf numFmtId="4" fontId="2" fillId="0" borderId="0" xfId="0" applyNumberFormat="1" applyFont="1" applyAlignment="1">
      <alignment horizontal="center" vertical="center"/>
    </xf>
    <xf numFmtId="0" fontId="26" fillId="0" borderId="18" xfId="0" applyFont="1" applyBorder="1" applyAlignment="1">
      <alignment horizontal="left" vertical="center" wrapText="1"/>
    </xf>
    <xf numFmtId="0" fontId="27" fillId="0" borderId="18" xfId="0" applyFont="1" applyBorder="1"/>
    <xf numFmtId="0" fontId="26" fillId="15" borderId="18" xfId="0" applyFont="1" applyFill="1" applyBorder="1" applyAlignment="1">
      <alignment horizontal="center" vertical="center" wrapText="1"/>
    </xf>
    <xf numFmtId="0" fontId="26" fillId="15" borderId="18" xfId="0" applyFont="1" applyFill="1" applyBorder="1" applyAlignment="1">
      <alignment horizontal="center" vertical="center"/>
    </xf>
    <xf numFmtId="0" fontId="27" fillId="0" borderId="18" xfId="0" applyFont="1" applyBorder="1" applyAlignment="1">
      <alignment horizontal="center" vertical="center" wrapText="1"/>
    </xf>
    <xf numFmtId="0" fontId="27" fillId="0" borderId="18" xfId="0" applyFont="1" applyBorder="1" applyAlignment="1">
      <alignment horizontal="right" vertical="center"/>
    </xf>
    <xf numFmtId="4" fontId="27" fillId="0" borderId="18" xfId="0" applyNumberFormat="1" applyFont="1" applyBorder="1" applyAlignment="1">
      <alignment horizontal="right" vertical="center"/>
    </xf>
    <xf numFmtId="4" fontId="26" fillId="0" borderId="18" xfId="0" applyNumberFormat="1" applyFont="1" applyBorder="1" applyAlignment="1">
      <alignment horizontal="right" vertical="center"/>
    </xf>
    <xf numFmtId="0" fontId="27" fillId="0" borderId="18" xfId="0" applyFont="1" applyBorder="1" applyAlignment="1">
      <alignment vertical="center" wrapText="1"/>
    </xf>
    <xf numFmtId="0" fontId="27" fillId="4" borderId="18" xfId="0" applyFont="1" applyFill="1" applyBorder="1" applyAlignment="1">
      <alignment horizontal="right" vertical="center"/>
    </xf>
    <xf numFmtId="0" fontId="27" fillId="0" borderId="18" xfId="0" applyFont="1" applyBorder="1" applyAlignment="1">
      <alignment horizontal="left" vertical="top" wrapText="1"/>
    </xf>
    <xf numFmtId="4" fontId="27" fillId="0" borderId="18" xfId="0" applyNumberFormat="1" applyFont="1" applyBorder="1"/>
    <xf numFmtId="0" fontId="27" fillId="0" borderId="18" xfId="0" applyFont="1" applyBorder="1" applyAlignment="1">
      <alignment horizontal="left" vertical="center" wrapText="1"/>
    </xf>
    <xf numFmtId="0" fontId="26" fillId="0" borderId="18" xfId="0" applyFont="1" applyBorder="1" applyAlignment="1">
      <alignment horizontal="center" vertical="center" wrapText="1"/>
    </xf>
    <xf numFmtId="0" fontId="27" fillId="0" borderId="18" xfId="0" applyFont="1" applyBorder="1" applyAlignment="1">
      <alignment wrapText="1"/>
    </xf>
    <xf numFmtId="0" fontId="26" fillId="0" borderId="18" xfId="0" applyFont="1" applyBorder="1" applyAlignment="1">
      <alignment vertical="center" wrapText="1"/>
    </xf>
    <xf numFmtId="0" fontId="26" fillId="0" borderId="18" xfId="0" applyFont="1" applyBorder="1" applyAlignment="1">
      <alignment horizontal="right" vertical="center"/>
    </xf>
    <xf numFmtId="4" fontId="26" fillId="0" borderId="18" xfId="0" applyNumberFormat="1" applyFont="1" applyBorder="1" applyAlignment="1">
      <alignment horizontal="right"/>
    </xf>
    <xf numFmtId="4" fontId="27" fillId="4" borderId="18" xfId="0" applyNumberFormat="1" applyFont="1" applyFill="1" applyBorder="1" applyAlignment="1">
      <alignment horizontal="right" vertical="center"/>
    </xf>
    <xf numFmtId="0" fontId="27" fillId="4" borderId="18" xfId="0" applyFont="1" applyFill="1" applyBorder="1" applyAlignment="1">
      <alignment vertical="center" wrapText="1"/>
    </xf>
    <xf numFmtId="0" fontId="26" fillId="4" borderId="18" xfId="0" applyFont="1" applyFill="1" applyBorder="1" applyAlignment="1">
      <alignment vertical="center" wrapText="1"/>
    </xf>
    <xf numFmtId="0" fontId="27" fillId="0" borderId="18" xfId="0" applyFont="1" applyBorder="1" applyAlignment="1">
      <alignment horizontal="center"/>
    </xf>
    <xf numFmtId="0" fontId="26" fillId="4" borderId="18" xfId="0" applyFont="1" applyFill="1" applyBorder="1" applyAlignment="1">
      <alignment horizontal="right" vertical="center"/>
    </xf>
    <xf numFmtId="4" fontId="26" fillId="0" borderId="18" xfId="0" applyNumberFormat="1" applyFont="1" applyBorder="1" applyAlignment="1">
      <alignment horizontal="center"/>
    </xf>
    <xf numFmtId="4" fontId="26" fillId="0" borderId="18" xfId="0" applyNumberFormat="1" applyFont="1" applyBorder="1"/>
    <xf numFmtId="3" fontId="27" fillId="0" borderId="18" xfId="0" applyNumberFormat="1" applyFont="1" applyBorder="1" applyAlignment="1">
      <alignment horizontal="center" vertical="center" wrapText="1"/>
    </xf>
    <xf numFmtId="3" fontId="27" fillId="0" borderId="18" xfId="0" applyNumberFormat="1" applyFont="1" applyBorder="1" applyAlignment="1">
      <alignment horizontal="right" vertical="center"/>
    </xf>
    <xf numFmtId="3" fontId="26" fillId="0" borderId="18" xfId="0" applyNumberFormat="1" applyFont="1" applyBorder="1" applyAlignment="1">
      <alignment horizontal="center" vertical="center" wrapText="1"/>
    </xf>
    <xf numFmtId="3" fontId="26" fillId="0" borderId="18" xfId="0" applyNumberFormat="1" applyFont="1" applyBorder="1" applyAlignment="1">
      <alignment horizontal="right" vertical="center"/>
    </xf>
    <xf numFmtId="3" fontId="27" fillId="4" borderId="18" xfId="0" applyNumberFormat="1" applyFont="1" applyFill="1" applyBorder="1" applyAlignment="1">
      <alignment horizontal="center" vertical="center" wrapText="1"/>
    </xf>
    <xf numFmtId="3" fontId="27" fillId="4" borderId="18" xfId="0" applyNumberFormat="1" applyFont="1" applyFill="1" applyBorder="1" applyAlignment="1">
      <alignment horizontal="right" vertical="center"/>
    </xf>
    <xf numFmtId="0" fontId="15" fillId="4" borderId="5" xfId="0" applyFont="1" applyFill="1" applyBorder="1"/>
    <xf numFmtId="3" fontId="26" fillId="4" borderId="18" xfId="0" applyNumberFormat="1" applyFont="1" applyFill="1" applyBorder="1" applyAlignment="1">
      <alignment horizontal="center" vertical="center" wrapText="1"/>
    </xf>
    <xf numFmtId="4" fontId="29" fillId="0" borderId="18" xfId="0" applyNumberFormat="1" applyFont="1" applyBorder="1" applyAlignment="1">
      <alignment horizontal="right" vertical="center"/>
    </xf>
    <xf numFmtId="4" fontId="26" fillId="2" borderId="18" xfId="0" applyNumberFormat="1" applyFont="1" applyFill="1" applyBorder="1" applyAlignment="1">
      <alignment horizontal="right" vertical="center"/>
    </xf>
    <xf numFmtId="4" fontId="26" fillId="4" borderId="18" xfId="0" applyNumberFormat="1" applyFont="1" applyFill="1" applyBorder="1" applyAlignment="1">
      <alignment horizontal="right" vertical="center"/>
    </xf>
    <xf numFmtId="0" fontId="27" fillId="17" borderId="18" xfId="0" applyFont="1" applyFill="1" applyBorder="1" applyAlignment="1">
      <alignment vertical="center" wrapText="1"/>
    </xf>
    <xf numFmtId="0" fontId="27" fillId="17" borderId="18" xfId="0" applyFont="1" applyFill="1" applyBorder="1" applyAlignment="1">
      <alignment horizontal="center" vertical="center" wrapText="1"/>
    </xf>
    <xf numFmtId="0" fontId="27" fillId="17" borderId="18" xfId="0" applyFont="1" applyFill="1" applyBorder="1" applyAlignment="1">
      <alignment horizontal="right" vertical="center"/>
    </xf>
    <xf numFmtId="4" fontId="27" fillId="17" borderId="18" xfId="0" applyNumberFormat="1" applyFont="1" applyFill="1" applyBorder="1" applyAlignment="1">
      <alignment horizontal="right" vertical="center"/>
    </xf>
    <xf numFmtId="4" fontId="26" fillId="17" borderId="18" xfId="0" applyNumberFormat="1" applyFont="1" applyFill="1" applyBorder="1" applyAlignment="1">
      <alignment horizontal="right" vertical="center"/>
    </xf>
    <xf numFmtId="0" fontId="15" fillId="0" borderId="0" xfId="0" applyFont="1" applyAlignment="1">
      <alignment vertical="center" wrapText="1"/>
    </xf>
    <xf numFmtId="0" fontId="15" fillId="0" borderId="0" xfId="0" applyFont="1" applyAlignment="1">
      <alignment wrapText="1"/>
    </xf>
    <xf numFmtId="4" fontId="15" fillId="0" borderId="0" xfId="0" applyNumberFormat="1" applyFont="1" applyAlignment="1">
      <alignment wrapText="1"/>
    </xf>
    <xf numFmtId="1" fontId="15" fillId="0" borderId="0" xfId="0" applyNumberFormat="1" applyFont="1" applyAlignment="1">
      <alignment wrapText="1"/>
    </xf>
    <xf numFmtId="4" fontId="15" fillId="0" borderId="0" xfId="0" applyNumberFormat="1" applyFont="1"/>
    <xf numFmtId="1" fontId="15" fillId="0" borderId="0" xfId="0" applyNumberFormat="1" applyFont="1"/>
    <xf numFmtId="0" fontId="18" fillId="0" borderId="0" xfId="0" applyFont="1"/>
    <xf numFmtId="1" fontId="18" fillId="0" borderId="0" xfId="0" applyNumberFormat="1" applyFont="1"/>
    <xf numFmtId="0" fontId="17" fillId="0" borderId="18" xfId="0" applyFont="1" applyBorder="1" applyAlignment="1">
      <alignment horizontal="center" vertical="top" wrapText="1"/>
    </xf>
    <xf numFmtId="0" fontId="17" fillId="15" borderId="18" xfId="0" applyFont="1" applyFill="1" applyBorder="1" applyAlignment="1">
      <alignment horizontal="center" vertical="center"/>
    </xf>
    <xf numFmtId="4" fontId="17" fillId="15" borderId="18" xfId="0" applyNumberFormat="1" applyFont="1" applyFill="1" applyBorder="1" applyAlignment="1">
      <alignment horizontal="center" vertical="center"/>
    </xf>
    <xf numFmtId="0" fontId="17" fillId="15" borderId="18" xfId="0" applyFont="1" applyFill="1" applyBorder="1" applyAlignment="1">
      <alignment horizontal="center" vertical="center" wrapText="1"/>
    </xf>
    <xf numFmtId="1" fontId="15" fillId="0" borderId="18" xfId="0" applyNumberFormat="1" applyFont="1" applyBorder="1"/>
    <xf numFmtId="4" fontId="17" fillId="0" borderId="18" xfId="0" applyNumberFormat="1" applyFont="1" applyBorder="1" applyAlignment="1">
      <alignment horizontal="right" vertical="center"/>
    </xf>
    <xf numFmtId="0" fontId="15" fillId="0" borderId="18" xfId="0" applyFont="1" applyBorder="1" applyAlignment="1">
      <alignment horizontal="center" vertical="center"/>
    </xf>
    <xf numFmtId="4" fontId="15" fillId="0" borderId="18" xfId="0" applyNumberFormat="1" applyFont="1" applyBorder="1" applyAlignment="1">
      <alignment horizontal="right" vertical="center"/>
    </xf>
    <xf numFmtId="0" fontId="17" fillId="0" borderId="18" xfId="0" applyFont="1" applyBorder="1"/>
    <xf numFmtId="3" fontId="15" fillId="0" borderId="18" xfId="0" applyNumberFormat="1" applyFont="1" applyBorder="1" applyAlignment="1">
      <alignment horizontal="center" vertical="center"/>
    </xf>
    <xf numFmtId="166" fontId="15" fillId="0" borderId="18" xfId="0" applyNumberFormat="1" applyFont="1" applyBorder="1"/>
    <xf numFmtId="2" fontId="15" fillId="0" borderId="18" xfId="0" applyNumberFormat="1" applyFont="1" applyBorder="1" applyAlignment="1">
      <alignment horizontal="center"/>
    </xf>
    <xf numFmtId="0" fontId="17" fillId="4" borderId="18" xfId="0" applyFont="1" applyFill="1" applyBorder="1"/>
    <xf numFmtId="4" fontId="17" fillId="0" borderId="18" xfId="0" applyNumberFormat="1" applyFont="1" applyBorder="1" applyAlignment="1">
      <alignment horizontal="right"/>
    </xf>
    <xf numFmtId="3" fontId="15" fillId="4" borderId="18" xfId="0" applyNumberFormat="1" applyFont="1" applyFill="1" applyBorder="1" applyAlignment="1">
      <alignment horizontal="center" vertical="center"/>
    </xf>
    <xf numFmtId="4" fontId="15" fillId="4" borderId="18" xfId="0" applyNumberFormat="1" applyFont="1" applyFill="1" applyBorder="1" applyAlignment="1">
      <alignment horizontal="right" vertical="center"/>
    </xf>
    <xf numFmtId="4" fontId="17" fillId="4" borderId="18" xfId="0" applyNumberFormat="1" applyFont="1" applyFill="1" applyBorder="1" applyAlignment="1">
      <alignment horizontal="right" vertical="center"/>
    </xf>
    <xf numFmtId="1" fontId="17" fillId="0" borderId="18" xfId="0" applyNumberFormat="1" applyFont="1" applyBorder="1"/>
    <xf numFmtId="0" fontId="28" fillId="2" borderId="18" xfId="0" applyFont="1" applyFill="1" applyBorder="1" applyAlignment="1">
      <alignment vertical="center" wrapText="1"/>
    </xf>
    <xf numFmtId="0" fontId="28" fillId="15" borderId="18" xfId="0" applyFont="1" applyFill="1" applyBorder="1" applyAlignment="1">
      <alignment horizontal="center" vertical="center" wrapText="1"/>
    </xf>
    <xf numFmtId="0" fontId="28" fillId="15" borderId="18" xfId="0" applyFont="1" applyFill="1" applyBorder="1" applyAlignment="1">
      <alignment horizontal="right" vertical="center"/>
    </xf>
    <xf numFmtId="4" fontId="26" fillId="15" borderId="18" xfId="0" applyNumberFormat="1" applyFont="1" applyFill="1" applyBorder="1" applyAlignment="1">
      <alignment horizontal="right" vertical="center"/>
    </xf>
    <xf numFmtId="4" fontId="17" fillId="15" borderId="18" xfId="0" applyNumberFormat="1" applyFont="1" applyFill="1" applyBorder="1" applyAlignment="1">
      <alignment horizontal="right" vertical="center"/>
    </xf>
    <xf numFmtId="0" fontId="17" fillId="0" borderId="18" xfId="0" applyFont="1" applyBorder="1" applyAlignment="1">
      <alignment horizontal="center" vertical="center"/>
    </xf>
    <xf numFmtId="4" fontId="15" fillId="0" borderId="18" xfId="0" applyNumberFormat="1" applyFont="1" applyBorder="1"/>
    <xf numFmtId="0" fontId="28" fillId="15" borderId="18" xfId="0" applyFont="1" applyFill="1" applyBorder="1" applyAlignment="1">
      <alignment vertical="center" wrapText="1"/>
    </xf>
    <xf numFmtId="4" fontId="28" fillId="15" borderId="18" xfId="0" applyNumberFormat="1" applyFont="1" applyFill="1" applyBorder="1" applyAlignment="1">
      <alignment horizontal="right" vertical="center"/>
    </xf>
    <xf numFmtId="0" fontId="30" fillId="15" borderId="18" xfId="0" applyFont="1" applyFill="1" applyBorder="1" applyAlignment="1">
      <alignment horizontal="center" vertical="center"/>
    </xf>
    <xf numFmtId="4" fontId="30" fillId="15" borderId="18" xfId="0" applyNumberFormat="1" applyFont="1" applyFill="1" applyBorder="1" applyAlignment="1">
      <alignment horizontal="right" vertical="center"/>
    </xf>
    <xf numFmtId="0" fontId="29" fillId="15" borderId="18" xfId="0" applyFont="1" applyFill="1" applyBorder="1" applyAlignment="1">
      <alignment horizontal="center" vertical="center" wrapText="1"/>
    </xf>
    <xf numFmtId="0" fontId="29" fillId="15" borderId="18" xfId="0" applyFont="1" applyFill="1" applyBorder="1" applyAlignment="1">
      <alignment horizontal="right" vertical="center"/>
    </xf>
    <xf numFmtId="4" fontId="29" fillId="15" borderId="18" xfId="0" applyNumberFormat="1" applyFont="1" applyFill="1" applyBorder="1" applyAlignment="1">
      <alignment horizontal="right" vertical="center"/>
    </xf>
    <xf numFmtId="0" fontId="31" fillId="15" borderId="18" xfId="0" applyFont="1" applyFill="1" applyBorder="1" applyAlignment="1">
      <alignment horizontal="center" vertical="center"/>
    </xf>
    <xf numFmtId="4" fontId="31" fillId="15" borderId="18" xfId="0" applyNumberFormat="1" applyFont="1" applyFill="1" applyBorder="1" applyAlignment="1">
      <alignment horizontal="right" vertical="center"/>
    </xf>
    <xf numFmtId="0" fontId="19" fillId="0" borderId="0" xfId="0" applyFont="1"/>
    <xf numFmtId="0" fontId="27" fillId="16" borderId="18" xfId="0" applyFont="1" applyFill="1" applyBorder="1" applyAlignment="1">
      <alignment vertical="center" wrapText="1"/>
    </xf>
    <xf numFmtId="0" fontId="27" fillId="16" borderId="18" xfId="0" applyFont="1" applyFill="1" applyBorder="1" applyAlignment="1">
      <alignment horizontal="center" vertical="center" wrapText="1"/>
    </xf>
    <xf numFmtId="0" fontId="27" fillId="16" borderId="18" xfId="0" applyFont="1" applyFill="1" applyBorder="1" applyAlignment="1">
      <alignment horizontal="right" vertical="center"/>
    </xf>
    <xf numFmtId="4" fontId="27" fillId="16" borderId="18" xfId="0" applyNumberFormat="1" applyFont="1" applyFill="1" applyBorder="1" applyAlignment="1">
      <alignment horizontal="right" vertical="center"/>
    </xf>
    <xf numFmtId="0" fontId="15" fillId="16" borderId="18" xfId="0" applyFont="1" applyFill="1" applyBorder="1" applyAlignment="1">
      <alignment horizontal="center" vertical="center"/>
    </xf>
    <xf numFmtId="4" fontId="15" fillId="16" borderId="18" xfId="0" applyNumberFormat="1" applyFont="1" applyFill="1" applyBorder="1" applyAlignment="1">
      <alignment horizontal="right" vertical="center"/>
    </xf>
    <xf numFmtId="4" fontId="17" fillId="16" borderId="18" xfId="0" applyNumberFormat="1" applyFont="1" applyFill="1" applyBorder="1" applyAlignment="1">
      <alignment horizontal="right" vertical="center"/>
    </xf>
    <xf numFmtId="0" fontId="15" fillId="16" borderId="18" xfId="0" applyFont="1" applyFill="1" applyBorder="1"/>
    <xf numFmtId="1" fontId="15" fillId="16" borderId="18" xfId="0" applyNumberFormat="1" applyFont="1" applyFill="1" applyBorder="1"/>
    <xf numFmtId="0" fontId="32" fillId="9" borderId="18" xfId="0" applyFont="1" applyFill="1" applyBorder="1" applyAlignment="1">
      <alignment wrapText="1"/>
    </xf>
    <xf numFmtId="0" fontId="32" fillId="9" borderId="18" xfId="0" applyFont="1" applyFill="1" applyBorder="1" applyAlignment="1">
      <alignment vertical="top" wrapText="1"/>
    </xf>
    <xf numFmtId="0" fontId="18" fillId="9" borderId="5" xfId="0" applyFont="1" applyFill="1" applyBorder="1"/>
    <xf numFmtId="0" fontId="32" fillId="9" borderId="18" xfId="0" applyFont="1" applyFill="1" applyBorder="1"/>
    <xf numFmtId="0" fontId="15" fillId="4" borderId="18" xfId="0" applyFont="1" applyFill="1" applyBorder="1" applyAlignment="1">
      <alignment horizontal="center" vertical="center"/>
    </xf>
    <xf numFmtId="0" fontId="15" fillId="4" borderId="18" xfId="0" applyFont="1" applyFill="1" applyBorder="1"/>
    <xf numFmtId="1" fontId="15" fillId="4" borderId="18" xfId="0" applyNumberFormat="1" applyFont="1" applyFill="1" applyBorder="1"/>
    <xf numFmtId="0" fontId="31" fillId="0" borderId="18" xfId="0" applyFont="1" applyBorder="1" applyAlignment="1">
      <alignment horizontal="center" vertical="center"/>
    </xf>
    <xf numFmtId="4" fontId="31" fillId="0" borderId="18" xfId="0" applyNumberFormat="1" applyFont="1" applyBorder="1" applyAlignment="1">
      <alignment horizontal="right" vertical="center"/>
    </xf>
    <xf numFmtId="0" fontId="26" fillId="15" borderId="18" xfId="0" applyFont="1" applyFill="1" applyBorder="1" applyAlignment="1">
      <alignment vertical="center" wrapText="1"/>
    </xf>
    <xf numFmtId="0" fontId="27" fillId="15" borderId="18" xfId="0" applyFont="1" applyFill="1" applyBorder="1" applyAlignment="1">
      <alignment horizontal="center" vertical="center" wrapText="1"/>
    </xf>
    <xf numFmtId="0" fontId="27" fillId="15" borderId="18" xfId="0" applyFont="1" applyFill="1" applyBorder="1" applyAlignment="1">
      <alignment horizontal="right" vertical="center"/>
    </xf>
    <xf numFmtId="4" fontId="27" fillId="15" borderId="18" xfId="0" applyNumberFormat="1" applyFont="1" applyFill="1" applyBorder="1" applyAlignment="1">
      <alignment horizontal="right" vertical="center"/>
    </xf>
    <xf numFmtId="0" fontId="15" fillId="4" borderId="18" xfId="0" applyFont="1" applyFill="1" applyBorder="1" applyAlignment="1">
      <alignment horizontal="right" vertical="center"/>
    </xf>
    <xf numFmtId="0" fontId="30" fillId="2" borderId="18" xfId="0" applyFont="1" applyFill="1" applyBorder="1" applyAlignment="1">
      <alignment horizontal="right" vertical="center"/>
    </xf>
    <xf numFmtId="4" fontId="30" fillId="2" borderId="18" xfId="0" applyNumberFormat="1" applyFont="1" applyFill="1" applyBorder="1" applyAlignment="1">
      <alignment horizontal="right" vertical="center"/>
    </xf>
    <xf numFmtId="4" fontId="17" fillId="2" borderId="18" xfId="0" applyNumberFormat="1" applyFont="1" applyFill="1" applyBorder="1" applyAlignment="1">
      <alignment horizontal="right" vertical="center"/>
    </xf>
    <xf numFmtId="167" fontId="17" fillId="4" borderId="18" xfId="0" applyNumberFormat="1" applyFont="1" applyFill="1" applyBorder="1" applyAlignment="1">
      <alignment horizontal="right" vertical="center"/>
    </xf>
    <xf numFmtId="0" fontId="30" fillId="15" borderId="18" xfId="0" applyFont="1" applyFill="1" applyBorder="1" applyAlignment="1">
      <alignment horizontal="right" vertical="center"/>
    </xf>
    <xf numFmtId="167" fontId="30" fillId="15" borderId="18" xfId="0" applyNumberFormat="1" applyFont="1" applyFill="1" applyBorder="1" applyAlignment="1">
      <alignment horizontal="right" vertical="center"/>
    </xf>
    <xf numFmtId="0" fontId="15" fillId="17" borderId="18" xfId="0" applyFont="1" applyFill="1" applyBorder="1" applyAlignment="1">
      <alignment horizontal="right" vertical="center"/>
    </xf>
    <xf numFmtId="4" fontId="15" fillId="17" borderId="18" xfId="0" applyNumberFormat="1" applyFont="1" applyFill="1" applyBorder="1" applyAlignment="1">
      <alignment horizontal="right" vertical="center"/>
    </xf>
    <xf numFmtId="167" fontId="17" fillId="2" borderId="18" xfId="0" applyNumberFormat="1" applyFont="1" applyFill="1" applyBorder="1" applyAlignment="1">
      <alignment horizontal="right" vertical="center"/>
    </xf>
    <xf numFmtId="167" fontId="15" fillId="4" borderId="5" xfId="0" applyNumberFormat="1" applyFont="1" applyFill="1" applyBorder="1"/>
    <xf numFmtId="169" fontId="15" fillId="0" borderId="0" xfId="0" applyNumberFormat="1" applyFont="1"/>
    <xf numFmtId="9" fontId="15" fillId="0" borderId="0" xfId="0" applyNumberFormat="1" applyFont="1"/>
    <xf numFmtId="4" fontId="17" fillId="0" borderId="18" xfId="0" applyNumberFormat="1" applyFont="1" applyBorder="1" applyAlignment="1">
      <alignment vertical="center" wrapText="1"/>
    </xf>
    <xf numFmtId="0" fontId="17" fillId="0" borderId="18" xfId="0" applyFont="1" applyBorder="1" applyAlignment="1">
      <alignment vertical="center" wrapText="1"/>
    </xf>
    <xf numFmtId="4" fontId="17" fillId="0" borderId="0" xfId="0" applyNumberFormat="1" applyFont="1" applyAlignment="1">
      <alignment vertical="center"/>
    </xf>
    <xf numFmtId="4" fontId="17" fillId="0" borderId="0" xfId="0" applyNumberFormat="1" applyFont="1"/>
    <xf numFmtId="1" fontId="17" fillId="0" borderId="0" xfId="0" applyNumberFormat="1" applyFont="1"/>
    <xf numFmtId="4" fontId="15" fillId="0" borderId="18" xfId="0" applyNumberFormat="1" applyFont="1" applyBorder="1" applyAlignment="1">
      <alignment vertical="center" wrapText="1"/>
    </xf>
    <xf numFmtId="9" fontId="15" fillId="0" borderId="18" xfId="0" applyNumberFormat="1" applyFont="1" applyBorder="1" applyAlignment="1">
      <alignment vertical="center"/>
    </xf>
    <xf numFmtId="0" fontId="15" fillId="0" borderId="0" xfId="0" applyFont="1" applyAlignment="1">
      <alignment vertical="center"/>
    </xf>
    <xf numFmtId="9" fontId="15" fillId="0" borderId="18" xfId="0" applyNumberFormat="1" applyFont="1" applyBorder="1" applyAlignment="1">
      <alignment vertical="center" wrapText="1"/>
    </xf>
    <xf numFmtId="9" fontId="17" fillId="0" borderId="18" xfId="0" applyNumberFormat="1" applyFont="1" applyBorder="1" applyAlignment="1">
      <alignment vertical="center" wrapText="1"/>
    </xf>
    <xf numFmtId="0" fontId="17" fillId="0" borderId="0" xfId="0" applyFont="1" applyAlignment="1">
      <alignment vertical="center" wrapText="1"/>
    </xf>
    <xf numFmtId="0" fontId="17" fillId="0" borderId="0" xfId="0" applyFont="1" applyAlignment="1">
      <alignment wrapText="1"/>
    </xf>
    <xf numFmtId="4" fontId="17" fillId="0" borderId="0" xfId="0" applyNumberFormat="1" applyFont="1" applyAlignment="1">
      <alignment wrapText="1"/>
    </xf>
    <xf numFmtId="1" fontId="17" fillId="0" borderId="0" xfId="0" applyNumberFormat="1" applyFont="1" applyAlignment="1">
      <alignment wrapText="1"/>
    </xf>
    <xf numFmtId="10" fontId="17" fillId="0" borderId="18" xfId="0" applyNumberFormat="1" applyFont="1" applyBorder="1" applyAlignment="1">
      <alignment vertical="center" wrapText="1"/>
    </xf>
    <xf numFmtId="10" fontId="15" fillId="0" borderId="18" xfId="0" applyNumberFormat="1" applyFont="1" applyBorder="1" applyAlignment="1">
      <alignment vertical="center" wrapText="1"/>
    </xf>
    <xf numFmtId="164" fontId="5" fillId="0" borderId="39" xfId="0" applyNumberFormat="1" applyFont="1" applyBorder="1" applyAlignment="1">
      <alignment horizontal="right"/>
    </xf>
    <xf numFmtId="164" fontId="5" fillId="0" borderId="40" xfId="0" applyNumberFormat="1" applyFont="1" applyBorder="1" applyAlignment="1">
      <alignment horizontal="left"/>
    </xf>
    <xf numFmtId="0" fontId="5" fillId="0" borderId="40" xfId="0" applyFont="1" applyBorder="1" applyAlignment="1">
      <alignment horizontal="center"/>
    </xf>
    <xf numFmtId="3" fontId="5" fillId="0" borderId="41" xfId="0" applyNumberFormat="1" applyFont="1" applyBorder="1"/>
    <xf numFmtId="164" fontId="5" fillId="0" borderId="21" xfId="0" quotePrefix="1" applyNumberFormat="1" applyFont="1" applyBorder="1" applyAlignment="1">
      <alignment horizontal="right"/>
    </xf>
    <xf numFmtId="164" fontId="5" fillId="0" borderId="18" xfId="0" applyNumberFormat="1" applyFont="1" applyBorder="1"/>
    <xf numFmtId="0" fontId="33" fillId="0" borderId="18" xfId="0" applyFont="1" applyBorder="1"/>
    <xf numFmtId="0" fontId="33" fillId="0" borderId="18" xfId="0" applyFont="1" applyBorder="1" applyAlignment="1">
      <alignment horizontal="center"/>
    </xf>
    <xf numFmtId="3" fontId="33" fillId="0" borderId="20" xfId="0" applyNumberFormat="1" applyFont="1" applyBorder="1"/>
    <xf numFmtId="164" fontId="5" fillId="0" borderId="21" xfId="0" applyNumberFormat="1" applyFont="1" applyBorder="1" applyAlignment="1">
      <alignment horizontal="right"/>
    </xf>
    <xf numFmtId="164" fontId="33" fillId="0" borderId="18" xfId="0" applyNumberFormat="1" applyFont="1" applyBorder="1"/>
    <xf numFmtId="164" fontId="33" fillId="0" borderId="21" xfId="0" applyNumberFormat="1" applyFont="1" applyBorder="1" applyAlignment="1">
      <alignment horizontal="right"/>
    </xf>
    <xf numFmtId="164" fontId="5" fillId="0" borderId="18" xfId="0" applyNumberFormat="1" applyFont="1" applyBorder="1" applyAlignment="1">
      <alignment wrapText="1"/>
    </xf>
    <xf numFmtId="164" fontId="33" fillId="0" borderId="18" xfId="0" applyNumberFormat="1" applyFont="1" applyBorder="1" applyAlignment="1">
      <alignment wrapText="1"/>
    </xf>
    <xf numFmtId="164" fontId="5" fillId="0" borderId="51" xfId="0" applyNumberFormat="1" applyFont="1" applyBorder="1"/>
    <xf numFmtId="3" fontId="4" fillId="0" borderId="52" xfId="0" applyNumberFormat="1" applyFont="1" applyBorder="1"/>
    <xf numFmtId="0" fontId="2" fillId="0" borderId="55" xfId="0" applyFont="1" applyBorder="1"/>
    <xf numFmtId="0" fontId="2" fillId="0" borderId="56" xfId="0" applyFont="1" applyBorder="1"/>
    <xf numFmtId="0" fontId="2" fillId="0" borderId="57" xfId="0" applyFont="1" applyBorder="1"/>
    <xf numFmtId="0" fontId="5" fillId="0" borderId="31" xfId="0" applyFont="1" applyBorder="1"/>
    <xf numFmtId="0" fontId="5" fillId="0" borderId="0" xfId="0" applyFont="1"/>
    <xf numFmtId="0" fontId="5" fillId="0" borderId="32" xfId="0" applyFont="1" applyBorder="1"/>
    <xf numFmtId="0" fontId="5" fillId="0" borderId="36" xfId="0" applyFont="1" applyBorder="1"/>
    <xf numFmtId="0" fontId="5" fillId="0" borderId="37" xfId="0" applyFont="1" applyBorder="1"/>
    <xf numFmtId="0" fontId="5" fillId="0" borderId="38" xfId="0" applyFont="1" applyBorder="1"/>
    <xf numFmtId="3" fontId="5" fillId="0" borderId="41" xfId="0" applyNumberFormat="1" applyFont="1" applyBorder="1" applyAlignment="1">
      <alignment horizontal="center"/>
    </xf>
    <xf numFmtId="3" fontId="33" fillId="0" borderId="18" xfId="0" applyNumberFormat="1" applyFont="1" applyBorder="1"/>
    <xf numFmtId="3" fontId="33" fillId="0" borderId="18" xfId="0" applyNumberFormat="1" applyFont="1" applyBorder="1" applyAlignment="1">
      <alignment horizontal="center"/>
    </xf>
    <xf numFmtId="3" fontId="5" fillId="0" borderId="18" xfId="0" applyNumberFormat="1" applyFont="1" applyBorder="1"/>
    <xf numFmtId="9" fontId="5" fillId="0" borderId="20" xfId="0" applyNumberFormat="1" applyFont="1" applyBorder="1"/>
    <xf numFmtId="3" fontId="5" fillId="0" borderId="20" xfId="0" applyNumberFormat="1" applyFont="1" applyBorder="1"/>
    <xf numFmtId="3" fontId="5" fillId="0" borderId="18" xfId="0" applyNumberFormat="1" applyFont="1" applyBorder="1" applyAlignment="1">
      <alignment horizontal="center"/>
    </xf>
    <xf numFmtId="3" fontId="5" fillId="0" borderId="51" xfId="0" applyNumberFormat="1" applyFont="1" applyBorder="1"/>
    <xf numFmtId="3" fontId="4" fillId="0" borderId="51" xfId="0" applyNumberFormat="1" applyFont="1" applyBorder="1" applyAlignment="1">
      <alignment horizontal="center"/>
    </xf>
    <xf numFmtId="9" fontId="5" fillId="0" borderId="52" xfId="0" applyNumberFormat="1" applyFont="1" applyBorder="1"/>
    <xf numFmtId="0" fontId="11" fillId="0" borderId="0" xfId="0" applyFont="1"/>
    <xf numFmtId="0" fontId="4" fillId="0" borderId="0" xfId="0" applyFont="1" applyAlignment="1">
      <alignment horizontal="center"/>
    </xf>
    <xf numFmtId="0" fontId="7" fillId="0" borderId="18" xfId="0" applyFont="1" applyBorder="1"/>
    <xf numFmtId="0" fontId="4" fillId="0" borderId="18" xfId="0" quotePrefix="1" applyFont="1" applyBorder="1"/>
    <xf numFmtId="0" fontId="4" fillId="0" borderId="18" xfId="0" quotePrefix="1" applyFont="1" applyBorder="1" applyAlignment="1">
      <alignment horizontal="left" vertical="center"/>
    </xf>
    <xf numFmtId="4" fontId="7" fillId="0" borderId="18" xfId="0" applyNumberFormat="1" applyFont="1" applyBorder="1"/>
    <xf numFmtId="3" fontId="7" fillId="0" borderId="0" xfId="0" applyNumberFormat="1" applyFont="1"/>
    <xf numFmtId="4" fontId="7" fillId="0" borderId="0" xfId="0" applyNumberFormat="1" applyFont="1"/>
    <xf numFmtId="4" fontId="4" fillId="0" borderId="0" xfId="0" applyNumberFormat="1" applyFont="1"/>
    <xf numFmtId="3" fontId="10" fillId="0" borderId="0" xfId="0" applyNumberFormat="1" applyFont="1"/>
    <xf numFmtId="0" fontId="7" fillId="4" borderId="18" xfId="0" applyFont="1" applyFill="1" applyBorder="1" applyAlignment="1">
      <alignment wrapText="1"/>
    </xf>
    <xf numFmtId="0" fontId="2" fillId="0" borderId="18" xfId="0" applyFont="1" applyBorder="1"/>
    <xf numFmtId="0" fontId="4" fillId="0" borderId="0" xfId="0" applyFont="1" applyAlignment="1">
      <alignment horizontal="left"/>
    </xf>
    <xf numFmtId="0" fontId="26" fillId="0" borderId="18" xfId="0" applyFont="1" applyBorder="1" applyAlignment="1">
      <alignment horizontal="center"/>
    </xf>
    <xf numFmtId="3" fontId="27" fillId="0" borderId="18" xfId="0" applyNumberFormat="1" applyFont="1" applyBorder="1"/>
    <xf numFmtId="3" fontId="26" fillId="0" borderId="18" xfId="0" applyNumberFormat="1" applyFont="1" applyBorder="1"/>
    <xf numFmtId="168" fontId="9" fillId="0" borderId="0" xfId="0" applyNumberFormat="1" applyFont="1"/>
    <xf numFmtId="4" fontId="10" fillId="0" borderId="0" xfId="0" applyNumberFormat="1" applyFont="1"/>
    <xf numFmtId="168" fontId="35" fillId="0" borderId="0" xfId="0" applyNumberFormat="1" applyFont="1"/>
    <xf numFmtId="0" fontId="7" fillId="9" borderId="64" xfId="0" applyFont="1" applyFill="1" applyBorder="1" applyAlignment="1">
      <alignment horizontal="center" wrapText="1"/>
    </xf>
    <xf numFmtId="0" fontId="7" fillId="9" borderId="65" xfId="0" applyFont="1" applyFill="1" applyBorder="1" applyAlignment="1">
      <alignment horizontal="center" vertical="top"/>
    </xf>
    <xf numFmtId="3" fontId="7" fillId="9" borderId="65" xfId="0" applyNumberFormat="1" applyFont="1" applyFill="1" applyBorder="1" applyAlignment="1">
      <alignment horizontal="center" vertical="top" wrapText="1"/>
    </xf>
    <xf numFmtId="3" fontId="36" fillId="9" borderId="66" xfId="0" applyNumberFormat="1" applyFont="1" applyFill="1" applyBorder="1" applyAlignment="1">
      <alignment horizontal="center" wrapText="1"/>
    </xf>
    <xf numFmtId="3" fontId="36" fillId="9" borderId="66" xfId="0" applyNumberFormat="1" applyFont="1" applyFill="1" applyBorder="1" applyAlignment="1">
      <alignment horizontal="center"/>
    </xf>
    <xf numFmtId="0" fontId="36" fillId="9" borderId="23" xfId="0" applyFont="1" applyFill="1" applyBorder="1" applyAlignment="1">
      <alignment horizontal="center"/>
    </xf>
    <xf numFmtId="0" fontId="7" fillId="18" borderId="23" xfId="0" applyFont="1" applyFill="1" applyBorder="1" applyAlignment="1">
      <alignment horizontal="left" wrapText="1"/>
    </xf>
    <xf numFmtId="0" fontId="7" fillId="18" borderId="67" xfId="0" applyFont="1" applyFill="1" applyBorder="1" applyAlignment="1">
      <alignment horizontal="center"/>
    </xf>
    <xf numFmtId="3" fontId="7" fillId="9" borderId="23" xfId="0" applyNumberFormat="1" applyFont="1" applyFill="1" applyBorder="1" applyAlignment="1">
      <alignment horizontal="center"/>
    </xf>
    <xf numFmtId="4" fontId="36" fillId="9" borderId="23" xfId="0" applyNumberFormat="1" applyFont="1" applyFill="1" applyBorder="1" applyAlignment="1">
      <alignment horizontal="center"/>
    </xf>
    <xf numFmtId="4" fontId="9" fillId="9" borderId="23" xfId="0" applyNumberFormat="1" applyFont="1" applyFill="1" applyBorder="1"/>
    <xf numFmtId="4" fontId="9" fillId="0" borderId="23" xfId="0" applyNumberFormat="1" applyFont="1" applyBorder="1"/>
    <xf numFmtId="0" fontId="7" fillId="0" borderId="23" xfId="0" applyFont="1" applyBorder="1"/>
    <xf numFmtId="0" fontId="7" fillId="15" borderId="64" xfId="0" applyFont="1" applyFill="1" applyBorder="1" applyAlignment="1">
      <alignment horizontal="left" wrapText="1"/>
    </xf>
    <xf numFmtId="0" fontId="7" fillId="15" borderId="68" xfId="0" applyFont="1" applyFill="1" applyBorder="1" applyAlignment="1">
      <alignment horizontal="center"/>
    </xf>
    <xf numFmtId="3" fontId="7" fillId="5" borderId="23" xfId="0" applyNumberFormat="1" applyFont="1" applyFill="1" applyBorder="1" applyAlignment="1">
      <alignment horizontal="center"/>
    </xf>
    <xf numFmtId="4" fontId="7" fillId="9" borderId="23" xfId="0" applyNumberFormat="1" applyFont="1" applyFill="1" applyBorder="1" applyAlignment="1">
      <alignment horizontal="center"/>
    </xf>
    <xf numFmtId="4" fontId="2" fillId="9" borderId="23" xfId="0" applyNumberFormat="1" applyFont="1" applyFill="1" applyBorder="1"/>
    <xf numFmtId="4" fontId="2" fillId="0" borderId="23" xfId="0" applyNumberFormat="1" applyFont="1" applyBorder="1"/>
    <xf numFmtId="4" fontId="7" fillId="5" borderId="23" xfId="0" applyNumberFormat="1" applyFont="1" applyFill="1" applyBorder="1"/>
    <xf numFmtId="10" fontId="7" fillId="5" borderId="23" xfId="0" applyNumberFormat="1" applyFont="1" applyFill="1" applyBorder="1"/>
    <xf numFmtId="0" fontId="7" fillId="19" borderId="64" xfId="0" applyFont="1" applyFill="1" applyBorder="1" applyAlignment="1">
      <alignment horizontal="left" wrapText="1"/>
    </xf>
    <xf numFmtId="0" fontId="7" fillId="19" borderId="68" xfId="0" applyFont="1" applyFill="1" applyBorder="1" applyAlignment="1">
      <alignment horizontal="center"/>
    </xf>
    <xf numFmtId="0" fontId="4" fillId="0" borderId="62" xfId="0" applyFont="1" applyBorder="1" applyAlignment="1">
      <alignment horizontal="left" wrapText="1"/>
    </xf>
    <xf numFmtId="0" fontId="4" fillId="0" borderId="37" xfId="0" applyFont="1" applyBorder="1" applyAlignment="1">
      <alignment horizontal="center"/>
    </xf>
    <xf numFmtId="3" fontId="4" fillId="5" borderId="23" xfId="0" applyNumberFormat="1" applyFont="1" applyFill="1" applyBorder="1" applyAlignment="1">
      <alignment horizontal="center"/>
    </xf>
    <xf numFmtId="4" fontId="4" fillId="0" borderId="23" xfId="0" applyNumberFormat="1" applyFont="1" applyBorder="1" applyAlignment="1">
      <alignment horizontal="center"/>
    </xf>
    <xf numFmtId="0" fontId="4" fillId="4" borderId="64" xfId="0" applyFont="1" applyFill="1" applyBorder="1" applyAlignment="1">
      <alignment horizontal="left" wrapText="1"/>
    </xf>
    <xf numFmtId="0" fontId="4" fillId="4" borderId="68" xfId="0" applyFont="1" applyFill="1" applyBorder="1" applyAlignment="1">
      <alignment horizontal="center"/>
    </xf>
    <xf numFmtId="4" fontId="4" fillId="9" borderId="23" xfId="0" applyNumberFormat="1" applyFont="1" applyFill="1" applyBorder="1" applyAlignment="1">
      <alignment horizontal="center"/>
    </xf>
    <xf numFmtId="0" fontId="7" fillId="15" borderId="64" xfId="0" applyFont="1" applyFill="1" applyBorder="1" applyAlignment="1">
      <alignment horizontal="center"/>
    </xf>
    <xf numFmtId="0" fontId="7" fillId="5" borderId="23" xfId="0" applyFont="1" applyFill="1" applyBorder="1" applyAlignment="1">
      <alignment horizontal="center"/>
    </xf>
    <xf numFmtId="0" fontId="4" fillId="5" borderId="23" xfId="0" applyFont="1" applyFill="1" applyBorder="1" applyAlignment="1">
      <alignment horizontal="center"/>
    </xf>
    <xf numFmtId="0" fontId="7" fillId="2" borderId="64" xfId="0" applyFont="1" applyFill="1" applyBorder="1" applyAlignment="1">
      <alignment horizontal="left" wrapText="1"/>
    </xf>
    <xf numFmtId="0" fontId="4" fillId="2" borderId="68" xfId="0" applyFont="1" applyFill="1" applyBorder="1" applyAlignment="1">
      <alignment horizontal="center"/>
    </xf>
    <xf numFmtId="4" fontId="7" fillId="13" borderId="23" xfId="0" applyNumberFormat="1" applyFont="1" applyFill="1" applyBorder="1"/>
    <xf numFmtId="10" fontId="7" fillId="13" borderId="23" xfId="0" applyNumberFormat="1" applyFont="1" applyFill="1" applyBorder="1"/>
    <xf numFmtId="0" fontId="11" fillId="20" borderId="69" xfId="0" applyFont="1" applyFill="1" applyBorder="1" applyAlignment="1">
      <alignment horizontal="left" wrapText="1"/>
    </xf>
    <xf numFmtId="0" fontId="11" fillId="20" borderId="68" xfId="0" applyFont="1" applyFill="1" applyBorder="1" applyAlignment="1">
      <alignment horizontal="center"/>
    </xf>
    <xf numFmtId="3" fontId="11" fillId="20" borderId="23" xfId="0" applyNumberFormat="1" applyFont="1" applyFill="1" applyBorder="1" applyAlignment="1">
      <alignment horizontal="center"/>
    </xf>
    <xf numFmtId="4" fontId="11" fillId="20" borderId="23" xfId="0" applyNumberFormat="1" applyFont="1" applyFill="1" applyBorder="1" applyAlignment="1">
      <alignment horizontal="center"/>
    </xf>
    <xf numFmtId="4" fontId="7" fillId="20" borderId="23" xfId="0" applyNumberFormat="1" applyFont="1" applyFill="1" applyBorder="1" applyAlignment="1">
      <alignment horizontal="center"/>
    </xf>
    <xf numFmtId="4" fontId="2" fillId="20" borderId="23" xfId="0" applyNumberFormat="1" applyFont="1" applyFill="1" applyBorder="1"/>
    <xf numFmtId="4" fontId="7" fillId="20" borderId="23" xfId="0" applyNumberFormat="1" applyFont="1" applyFill="1" applyBorder="1"/>
    <xf numFmtId="10" fontId="7" fillId="20" borderId="23" xfId="0" applyNumberFormat="1" applyFont="1" applyFill="1" applyBorder="1"/>
    <xf numFmtId="0" fontId="7" fillId="18" borderId="64" xfId="0" applyFont="1" applyFill="1" applyBorder="1" applyAlignment="1">
      <alignment horizontal="left" wrapText="1"/>
    </xf>
    <xf numFmtId="0" fontId="7" fillId="18" borderId="68" xfId="0" applyFont="1" applyFill="1" applyBorder="1" applyAlignment="1">
      <alignment horizontal="center"/>
    </xf>
    <xf numFmtId="0" fontId="7" fillId="9" borderId="64" xfId="0" applyFont="1" applyFill="1" applyBorder="1" applyAlignment="1">
      <alignment horizontal="left" wrapText="1"/>
    </xf>
    <xf numFmtId="0" fontId="7" fillId="9" borderId="68" xfId="0" applyFont="1" applyFill="1" applyBorder="1" applyAlignment="1">
      <alignment horizontal="center"/>
    </xf>
    <xf numFmtId="4" fontId="36" fillId="0" borderId="23" xfId="0" applyNumberFormat="1" applyFont="1" applyBorder="1"/>
    <xf numFmtId="0" fontId="4" fillId="18" borderId="68" xfId="0" applyFont="1" applyFill="1" applyBorder="1" applyAlignment="1">
      <alignment horizontal="center"/>
    </xf>
    <xf numFmtId="0" fontId="7" fillId="9" borderId="68" xfId="0" applyFont="1" applyFill="1" applyBorder="1" applyAlignment="1">
      <alignment horizontal="left"/>
    </xf>
    <xf numFmtId="4" fontId="7" fillId="9" borderId="23" xfId="0" applyNumberFormat="1" applyFont="1" applyFill="1" applyBorder="1" applyAlignment="1">
      <alignment horizontal="left"/>
    </xf>
    <xf numFmtId="0" fontId="4" fillId="9" borderId="64" xfId="0" applyFont="1" applyFill="1" applyBorder="1" applyAlignment="1">
      <alignment horizontal="left" wrapText="1"/>
    </xf>
    <xf numFmtId="0" fontId="4" fillId="9" borderId="68" xfId="0" applyFont="1" applyFill="1" applyBorder="1" applyAlignment="1">
      <alignment horizontal="left"/>
    </xf>
    <xf numFmtId="0" fontId="4" fillId="0" borderId="56" xfId="0" applyFont="1" applyBorder="1" applyAlignment="1">
      <alignment horizontal="center"/>
    </xf>
    <xf numFmtId="0" fontId="7" fillId="15" borderId="67" xfId="0" applyFont="1" applyFill="1" applyBorder="1" applyAlignment="1">
      <alignment horizontal="left"/>
    </xf>
    <xf numFmtId="0" fontId="37" fillId="18" borderId="70" xfId="0" applyFont="1" applyFill="1" applyBorder="1" applyAlignment="1">
      <alignment horizontal="center"/>
    </xf>
    <xf numFmtId="0" fontId="4" fillId="0" borderId="55" xfId="0" applyFont="1" applyBorder="1" applyAlignment="1">
      <alignment horizontal="center"/>
    </xf>
    <xf numFmtId="0" fontId="4" fillId="0" borderId="71" xfId="0" applyFont="1" applyBorder="1" applyAlignment="1">
      <alignment horizontal="center"/>
    </xf>
    <xf numFmtId="0" fontId="7" fillId="15" borderId="69" xfId="0" applyFont="1" applyFill="1" applyBorder="1" applyAlignment="1">
      <alignment horizontal="left" wrapText="1"/>
    </xf>
    <xf numFmtId="0" fontId="4" fillId="15" borderId="68" xfId="0" applyFont="1" applyFill="1" applyBorder="1" applyAlignment="1">
      <alignment horizontal="center"/>
    </xf>
    <xf numFmtId="0" fontId="11" fillId="15" borderId="68" xfId="0" applyFont="1" applyFill="1" applyBorder="1" applyAlignment="1">
      <alignment horizontal="center"/>
    </xf>
    <xf numFmtId="3" fontId="11" fillId="5" borderId="23" xfId="0" applyNumberFormat="1" applyFont="1" applyFill="1" applyBorder="1" applyAlignment="1">
      <alignment horizontal="center"/>
    </xf>
    <xf numFmtId="4" fontId="11" fillId="9" borderId="23" xfId="0" applyNumberFormat="1" applyFont="1" applyFill="1" applyBorder="1" applyAlignment="1">
      <alignment horizontal="center"/>
    </xf>
    <xf numFmtId="0" fontId="4" fillId="0" borderId="31" xfId="0" applyFont="1" applyBorder="1" applyAlignment="1">
      <alignment horizontal="left" wrapText="1"/>
    </xf>
    <xf numFmtId="3" fontId="4" fillId="21" borderId="66" xfId="0" applyNumberFormat="1" applyFont="1" applyFill="1" applyBorder="1" applyAlignment="1">
      <alignment horizontal="center"/>
    </xf>
    <xf numFmtId="168" fontId="7" fillId="0" borderId="36" xfId="0" applyNumberFormat="1" applyFont="1" applyBorder="1" applyAlignment="1">
      <alignment horizontal="right" wrapText="1"/>
    </xf>
    <xf numFmtId="0" fontId="4" fillId="0" borderId="37" xfId="0" applyFont="1" applyBorder="1" applyAlignment="1">
      <alignment horizontal="left"/>
    </xf>
    <xf numFmtId="3" fontId="4" fillId="21" borderId="65" xfId="0" applyNumberFormat="1" applyFont="1" applyFill="1" applyBorder="1" applyAlignment="1">
      <alignment horizontal="center"/>
    </xf>
    <xf numFmtId="168" fontId="7" fillId="0" borderId="0" xfId="0" applyNumberFormat="1" applyFont="1" applyAlignment="1">
      <alignment horizontal="right" wrapText="1"/>
    </xf>
    <xf numFmtId="4" fontId="9" fillId="0" borderId="0" xfId="0" applyNumberFormat="1" applyFont="1"/>
    <xf numFmtId="0" fontId="38" fillId="0" borderId="0" xfId="0" applyFont="1"/>
    <xf numFmtId="167" fontId="38" fillId="0" borderId="0" xfId="0" applyNumberFormat="1" applyFont="1"/>
    <xf numFmtId="0" fontId="39" fillId="0" borderId="0" xfId="0" applyFont="1" applyAlignment="1">
      <alignment horizontal="center"/>
    </xf>
    <xf numFmtId="167" fontId="40" fillId="22" borderId="18" xfId="0" applyNumberFormat="1" applyFont="1" applyFill="1" applyBorder="1" applyAlignment="1">
      <alignment horizontal="center"/>
    </xf>
    <xf numFmtId="167" fontId="17" fillId="22" borderId="18" xfId="0" applyNumberFormat="1" applyFont="1" applyFill="1" applyBorder="1" applyAlignment="1">
      <alignment horizontal="center"/>
    </xf>
    <xf numFmtId="0" fontId="38" fillId="22" borderId="54" xfId="0" applyFont="1" applyFill="1" applyBorder="1" applyAlignment="1">
      <alignment horizontal="center"/>
    </xf>
    <xf numFmtId="0" fontId="38" fillId="22" borderId="75" xfId="0" applyFont="1" applyFill="1" applyBorder="1" applyAlignment="1">
      <alignment horizontal="center"/>
    </xf>
    <xf numFmtId="0" fontId="38" fillId="22" borderId="76" xfId="0" applyFont="1" applyFill="1" applyBorder="1" applyAlignment="1">
      <alignment horizontal="center"/>
    </xf>
    <xf numFmtId="0" fontId="40" fillId="0" borderId="18" xfId="0" applyFont="1" applyBorder="1"/>
    <xf numFmtId="4" fontId="38" fillId="0" borderId="18" xfId="0" applyNumberFormat="1" applyFont="1" applyBorder="1"/>
    <xf numFmtId="167" fontId="38" fillId="0" borderId="18" xfId="0" applyNumberFormat="1" applyFont="1" applyBorder="1"/>
    <xf numFmtId="0" fontId="40" fillId="0" borderId="77" xfId="0" applyFont="1" applyBorder="1"/>
    <xf numFmtId="4" fontId="40" fillId="0" borderId="18" xfId="0" applyNumberFormat="1" applyFont="1" applyBorder="1"/>
    <xf numFmtId="4" fontId="38" fillId="0" borderId="77" xfId="0" applyNumberFormat="1" applyFont="1" applyBorder="1"/>
    <xf numFmtId="4" fontId="40" fillId="0" borderId="11" xfId="0" applyNumberFormat="1" applyFont="1" applyBorder="1"/>
    <xf numFmtId="4" fontId="38" fillId="0" borderId="18" xfId="0" applyNumberFormat="1" applyFont="1" applyBorder="1" applyAlignment="1">
      <alignment horizontal="center"/>
    </xf>
    <xf numFmtId="4" fontId="40" fillId="0" borderId="18" xfId="0" applyNumberFormat="1" applyFont="1" applyBorder="1" applyAlignment="1">
      <alignment horizontal="right"/>
    </xf>
    <xf numFmtId="0" fontId="38" fillId="0" borderId="18" xfId="0" applyFont="1" applyBorder="1"/>
    <xf numFmtId="0" fontId="40" fillId="0" borderId="11" xfId="0" applyFont="1" applyBorder="1"/>
    <xf numFmtId="0" fontId="40" fillId="0" borderId="29" xfId="0" applyFont="1" applyBorder="1"/>
    <xf numFmtId="0" fontId="38" fillId="0" borderId="11" xfId="0" applyFont="1" applyBorder="1"/>
    <xf numFmtId="167" fontId="40" fillId="22" borderId="18" xfId="0" applyNumberFormat="1" applyFont="1" applyFill="1" applyBorder="1"/>
    <xf numFmtId="0" fontId="40" fillId="22" borderId="75" xfId="0" applyFont="1" applyFill="1" applyBorder="1"/>
    <xf numFmtId="4" fontId="40" fillId="22" borderId="18" xfId="0" applyNumberFormat="1" applyFont="1" applyFill="1" applyBorder="1"/>
    <xf numFmtId="0" fontId="38" fillId="0" borderId="13" xfId="0" applyFont="1" applyBorder="1"/>
    <xf numFmtId="167" fontId="38" fillId="0" borderId="17" xfId="0" applyNumberFormat="1" applyFont="1" applyBorder="1" applyAlignment="1">
      <alignment horizontal="center"/>
    </xf>
    <xf numFmtId="0" fontId="38" fillId="0" borderId="77" xfId="0" applyFont="1" applyBorder="1"/>
    <xf numFmtId="167" fontId="38" fillId="0" borderId="77" xfId="0" applyNumberFormat="1" applyFont="1" applyBorder="1" applyAlignment="1">
      <alignment horizontal="center"/>
    </xf>
    <xf numFmtId="167" fontId="38" fillId="0" borderId="18" xfId="0" applyNumberFormat="1" applyFont="1" applyBorder="1" applyAlignment="1">
      <alignment horizontal="center"/>
    </xf>
    <xf numFmtId="0" fontId="38" fillId="0" borderId="29" xfId="0" applyFont="1" applyBorder="1"/>
    <xf numFmtId="167" fontId="38" fillId="0" borderId="29" xfId="0" applyNumberFormat="1" applyFont="1" applyBorder="1"/>
    <xf numFmtId="0" fontId="38" fillId="13" borderId="18" xfId="0" applyFont="1" applyFill="1" applyBorder="1"/>
    <xf numFmtId="4" fontId="40" fillId="13" borderId="18" xfId="0" applyNumberFormat="1" applyFont="1" applyFill="1" applyBorder="1"/>
    <xf numFmtId="0" fontId="15" fillId="0" borderId="0" xfId="0" applyFont="1" applyAlignment="1">
      <alignment horizontal="center" wrapText="1"/>
    </xf>
    <xf numFmtId="4" fontId="17" fillId="0" borderId="79" xfId="0" applyNumberFormat="1" applyFont="1" applyBorder="1" applyAlignment="1">
      <alignment horizontal="left"/>
    </xf>
    <xf numFmtId="4" fontId="17" fillId="0" borderId="18" xfId="0" applyNumberFormat="1" applyFont="1" applyBorder="1" applyAlignment="1">
      <alignment horizontal="left"/>
    </xf>
    <xf numFmtId="4" fontId="17" fillId="0" borderId="13" xfId="0" applyNumberFormat="1" applyFont="1" applyBorder="1" applyAlignment="1">
      <alignment horizontal="left" wrapText="1"/>
    </xf>
    <xf numFmtId="4" fontId="17" fillId="0" borderId="18" xfId="0" applyNumberFormat="1" applyFont="1" applyBorder="1" applyAlignment="1">
      <alignment horizontal="left" wrapText="1"/>
    </xf>
    <xf numFmtId="4" fontId="17" fillId="0" borderId="12" xfId="0" applyNumberFormat="1" applyFont="1" applyBorder="1"/>
    <xf numFmtId="4" fontId="17" fillId="0" borderId="13" xfId="0" applyNumberFormat="1" applyFont="1" applyBorder="1"/>
    <xf numFmtId="4" fontId="41" fillId="0" borderId="12" xfId="0" applyNumberFormat="1" applyFont="1" applyBorder="1"/>
    <xf numFmtId="4" fontId="41" fillId="0" borderId="13" xfId="0" applyNumberFormat="1" applyFont="1" applyBorder="1"/>
    <xf numFmtId="4" fontId="41" fillId="0" borderId="18" xfId="0" applyNumberFormat="1" applyFont="1" applyBorder="1"/>
    <xf numFmtId="0" fontId="17" fillId="0" borderId="11" xfId="0" applyFont="1" applyBorder="1" applyAlignment="1">
      <alignment horizontal="left" vertical="center" wrapText="1"/>
    </xf>
    <xf numFmtId="4" fontId="26" fillId="15" borderId="83" xfId="0" applyNumberFormat="1" applyFont="1" applyFill="1" applyBorder="1" applyAlignment="1">
      <alignment horizontal="center" vertical="center" wrapText="1"/>
    </xf>
    <xf numFmtId="0" fontId="26" fillId="0" borderId="23" xfId="0" applyFont="1" applyBorder="1" applyAlignment="1">
      <alignment horizontal="center" vertical="center" wrapText="1"/>
    </xf>
    <xf numFmtId="4" fontId="26" fillId="15" borderId="76" xfId="0" applyNumberFormat="1" applyFont="1" applyFill="1" applyBorder="1" applyAlignment="1">
      <alignment horizontal="center" vertical="center" wrapText="1"/>
    </xf>
    <xf numFmtId="4" fontId="26" fillId="15" borderId="18" xfId="0" applyNumberFormat="1" applyFont="1" applyFill="1" applyBorder="1" applyAlignment="1">
      <alignment horizontal="center" vertical="center" wrapText="1"/>
    </xf>
    <xf numFmtId="0" fontId="26" fillId="15" borderId="18" xfId="0" applyFont="1" applyFill="1" applyBorder="1" applyAlignment="1">
      <alignment horizontal="center" vertical="top" wrapText="1"/>
    </xf>
    <xf numFmtId="0" fontId="26" fillId="15" borderId="20" xfId="0" applyFont="1" applyFill="1" applyBorder="1" applyAlignment="1">
      <alignment horizontal="center" vertical="top" wrapText="1"/>
    </xf>
    <xf numFmtId="4" fontId="26" fillId="15" borderId="85" xfId="0" applyNumberFormat="1" applyFont="1" applyFill="1" applyBorder="1" applyAlignment="1">
      <alignment horizontal="center" vertical="center" wrapText="1"/>
    </xf>
    <xf numFmtId="4" fontId="26" fillId="15" borderId="54" xfId="0" applyNumberFormat="1" applyFont="1" applyFill="1" applyBorder="1" applyAlignment="1">
      <alignment horizontal="center" vertical="top" wrapText="1"/>
    </xf>
    <xf numFmtId="4" fontId="26" fillId="15" borderId="85" xfId="0" applyNumberFormat="1" applyFont="1" applyFill="1" applyBorder="1" applyAlignment="1">
      <alignment horizontal="center" vertical="top" wrapText="1"/>
    </xf>
    <xf numFmtId="0" fontId="26" fillId="0" borderId="16" xfId="0" applyFont="1" applyBorder="1" applyAlignment="1">
      <alignment horizontal="center" vertical="center" wrapText="1"/>
    </xf>
    <xf numFmtId="4" fontId="26" fillId="15" borderId="86" xfId="0" applyNumberFormat="1" applyFont="1" applyFill="1" applyBorder="1" applyAlignment="1">
      <alignment horizontal="center" vertical="center" wrapText="1"/>
    </xf>
    <xf numFmtId="4" fontId="26" fillId="15" borderId="87" xfId="0" applyNumberFormat="1" applyFont="1" applyFill="1" applyBorder="1" applyAlignment="1">
      <alignment horizontal="center" vertical="center" wrapText="1"/>
    </xf>
    <xf numFmtId="4" fontId="26" fillId="15" borderId="88" xfId="0" applyNumberFormat="1" applyFont="1" applyFill="1" applyBorder="1" applyAlignment="1">
      <alignment horizontal="center" vertical="center" wrapText="1"/>
    </xf>
    <xf numFmtId="0" fontId="26" fillId="15" borderId="87" xfId="0" applyFont="1" applyFill="1" applyBorder="1" applyAlignment="1">
      <alignment horizontal="center" vertical="center" wrapText="1"/>
    </xf>
    <xf numFmtId="0" fontId="26" fillId="15" borderId="88" xfId="0" applyFont="1" applyFill="1" applyBorder="1" applyAlignment="1">
      <alignment horizontal="center" vertical="center" wrapText="1"/>
    </xf>
    <xf numFmtId="0" fontId="26" fillId="0" borderId="21" xfId="0" applyFont="1" applyBorder="1" applyAlignment="1">
      <alignment wrapText="1"/>
    </xf>
    <xf numFmtId="4" fontId="26" fillId="0" borderId="12" xfId="0" applyNumberFormat="1" applyFont="1" applyBorder="1"/>
    <xf numFmtId="4" fontId="27" fillId="3" borderId="85" xfId="0" applyNumberFormat="1" applyFont="1" applyFill="1" applyBorder="1"/>
    <xf numFmtId="0" fontId="42" fillId="0" borderId="18" xfId="0" applyFont="1" applyBorder="1" applyAlignment="1">
      <alignment horizontal="center"/>
    </xf>
    <xf numFmtId="4" fontId="42" fillId="0" borderId="18" xfId="0" applyNumberFormat="1" applyFont="1" applyBorder="1"/>
    <xf numFmtId="4" fontId="42" fillId="0" borderId="12" xfId="0" applyNumberFormat="1" applyFont="1" applyBorder="1"/>
    <xf numFmtId="4" fontId="42" fillId="0" borderId="89" xfId="0" applyNumberFormat="1" applyFont="1" applyBorder="1"/>
    <xf numFmtId="0" fontId="27" fillId="0" borderId="16" xfId="0" applyFont="1" applyBorder="1" applyAlignment="1">
      <alignment wrapText="1"/>
    </xf>
    <xf numFmtId="170" fontId="27" fillId="0" borderId="17" xfId="0" applyNumberFormat="1" applyFont="1" applyBorder="1" applyAlignment="1">
      <alignment horizontal="center"/>
    </xf>
    <xf numFmtId="170" fontId="27" fillId="0" borderId="17" xfId="0" applyNumberFormat="1" applyFont="1" applyBorder="1"/>
    <xf numFmtId="170" fontId="26" fillId="0" borderId="19" xfId="0" applyNumberFormat="1" applyFont="1" applyBorder="1"/>
    <xf numFmtId="170" fontId="26" fillId="3" borderId="90" xfId="0" applyNumberFormat="1" applyFont="1" applyFill="1" applyBorder="1" applyAlignment="1">
      <alignment horizontal="right"/>
    </xf>
    <xf numFmtId="0" fontId="43" fillId="0" borderId="18" xfId="0" applyFont="1" applyBorder="1" applyAlignment="1">
      <alignment horizontal="center"/>
    </xf>
    <xf numFmtId="4" fontId="43" fillId="0" borderId="18" xfId="0" applyNumberFormat="1" applyFont="1" applyBorder="1"/>
    <xf numFmtId="4" fontId="44" fillId="0" borderId="18" xfId="0" applyNumberFormat="1" applyFont="1" applyBorder="1"/>
    <xf numFmtId="4" fontId="44" fillId="0" borderId="12" xfId="0" applyNumberFormat="1" applyFont="1" applyBorder="1"/>
    <xf numFmtId="4" fontId="44" fillId="0" borderId="85" xfId="0" applyNumberFormat="1" applyFont="1" applyBorder="1"/>
    <xf numFmtId="170" fontId="27" fillId="0" borderId="19" xfId="0" applyNumberFormat="1" applyFont="1" applyBorder="1"/>
    <xf numFmtId="2" fontId="43" fillId="0" borderId="18" xfId="0" applyNumberFormat="1" applyFont="1" applyBorder="1" applyAlignment="1">
      <alignment horizontal="center"/>
    </xf>
    <xf numFmtId="4" fontId="43" fillId="0" borderId="12" xfId="0" applyNumberFormat="1" applyFont="1" applyBorder="1"/>
    <xf numFmtId="4" fontId="43" fillId="0" borderId="85" xfId="0" applyNumberFormat="1" applyFont="1" applyBorder="1"/>
    <xf numFmtId="170" fontId="27" fillId="0" borderId="18" xfId="0" applyNumberFormat="1" applyFont="1" applyBorder="1" applyAlignment="1">
      <alignment horizontal="center"/>
    </xf>
    <xf numFmtId="170" fontId="27" fillId="0" borderId="18" xfId="0" applyNumberFormat="1" applyFont="1" applyBorder="1"/>
    <xf numFmtId="3" fontId="43" fillId="0" borderId="85" xfId="0" applyNumberFormat="1" applyFont="1" applyBorder="1"/>
    <xf numFmtId="170" fontId="26" fillId="3" borderId="90" xfId="0" applyNumberFormat="1" applyFont="1" applyFill="1" applyBorder="1"/>
    <xf numFmtId="4" fontId="26" fillId="3" borderId="85" xfId="0" applyNumberFormat="1" applyFont="1" applyFill="1" applyBorder="1"/>
    <xf numFmtId="0" fontId="27" fillId="0" borderId="21" xfId="0" applyFont="1" applyBorder="1" applyAlignment="1">
      <alignment wrapText="1"/>
    </xf>
    <xf numFmtId="170" fontId="26" fillId="0" borderId="20" xfId="0" applyNumberFormat="1" applyFont="1" applyBorder="1"/>
    <xf numFmtId="170" fontId="26" fillId="3" borderId="20" xfId="0" applyNumberFormat="1" applyFont="1" applyFill="1" applyBorder="1"/>
    <xf numFmtId="170" fontId="27" fillId="0" borderId="20" xfId="0" applyNumberFormat="1" applyFont="1" applyBorder="1"/>
    <xf numFmtId="171" fontId="26" fillId="3" borderId="20" xfId="0" applyNumberFormat="1" applyFont="1" applyFill="1" applyBorder="1" applyAlignment="1">
      <alignment horizontal="right"/>
    </xf>
    <xf numFmtId="3" fontId="27" fillId="0" borderId="12" xfId="0" applyNumberFormat="1" applyFont="1" applyBorder="1"/>
    <xf numFmtId="4" fontId="28" fillId="3" borderId="85" xfId="0" applyNumberFormat="1" applyFont="1" applyFill="1" applyBorder="1"/>
    <xf numFmtId="0" fontId="28" fillId="15" borderId="21" xfId="0" applyFont="1" applyFill="1" applyBorder="1" applyAlignment="1">
      <alignment wrapText="1"/>
    </xf>
    <xf numFmtId="0" fontId="28" fillId="15" borderId="18" xfId="0" applyFont="1" applyFill="1" applyBorder="1" applyAlignment="1">
      <alignment horizontal="center"/>
    </xf>
    <xf numFmtId="3" fontId="26" fillId="15" borderId="54" xfId="0" applyNumberFormat="1" applyFont="1" applyFill="1" applyBorder="1"/>
    <xf numFmtId="4" fontId="26" fillId="15" borderId="54" xfId="0" applyNumberFormat="1" applyFont="1" applyFill="1" applyBorder="1"/>
    <xf numFmtId="4" fontId="44" fillId="15" borderId="85" xfId="0" applyNumberFormat="1" applyFont="1" applyFill="1" applyBorder="1"/>
    <xf numFmtId="3" fontId="26" fillId="0" borderId="12" xfId="0" applyNumberFormat="1" applyFont="1" applyBorder="1"/>
    <xf numFmtId="0" fontId="44" fillId="0" borderId="18" xfId="0" applyFont="1" applyBorder="1" applyAlignment="1">
      <alignment horizontal="center"/>
    </xf>
    <xf numFmtId="170" fontId="26" fillId="3" borderId="20" xfId="0" applyNumberFormat="1" applyFont="1" applyFill="1" applyBorder="1" applyAlignment="1">
      <alignment horizontal="right"/>
    </xf>
    <xf numFmtId="3" fontId="26" fillId="3" borderId="54" xfId="0" applyNumberFormat="1" applyFont="1" applyFill="1" applyBorder="1"/>
    <xf numFmtId="0" fontId="45" fillId="15" borderId="18" xfId="0" applyFont="1" applyFill="1" applyBorder="1" applyAlignment="1">
      <alignment horizontal="center"/>
    </xf>
    <xf numFmtId="3" fontId="44" fillId="15" borderId="54" xfId="0" applyNumberFormat="1" applyFont="1" applyFill="1" applyBorder="1"/>
    <xf numFmtId="4" fontId="44" fillId="2" borderId="18" xfId="0" applyNumberFormat="1" applyFont="1" applyFill="1" applyBorder="1"/>
    <xf numFmtId="4" fontId="44" fillId="2" borderId="54" xfId="0" applyNumberFormat="1" applyFont="1" applyFill="1" applyBorder="1"/>
    <xf numFmtId="0" fontId="26" fillId="0" borderId="10" xfId="0" applyFont="1" applyBorder="1" applyAlignment="1">
      <alignment wrapText="1"/>
    </xf>
    <xf numFmtId="0" fontId="27" fillId="0" borderId="11" xfId="0" applyFont="1" applyBorder="1" applyAlignment="1">
      <alignment horizontal="center"/>
    </xf>
    <xf numFmtId="4" fontId="27" fillId="0" borderId="11" xfId="0" applyNumberFormat="1" applyFont="1" applyBorder="1"/>
    <xf numFmtId="3" fontId="27" fillId="0" borderId="46" xfId="0" applyNumberFormat="1" applyFont="1" applyBorder="1"/>
    <xf numFmtId="4" fontId="27" fillId="3" borderId="91" xfId="0" applyNumberFormat="1" applyFont="1" applyFill="1" applyBorder="1"/>
    <xf numFmtId="0" fontId="43" fillId="0" borderId="11" xfId="0" applyFont="1" applyBorder="1" applyAlignment="1">
      <alignment horizontal="center"/>
    </xf>
    <xf numFmtId="4" fontId="43" fillId="0" borderId="11" xfId="0" applyNumberFormat="1" applyFont="1" applyBorder="1"/>
    <xf numFmtId="4" fontId="43" fillId="0" borderId="46" xfId="0" applyNumberFormat="1" applyFont="1" applyBorder="1"/>
    <xf numFmtId="4" fontId="43" fillId="0" borderId="92" xfId="0" applyNumberFormat="1" applyFont="1" applyBorder="1"/>
    <xf numFmtId="4" fontId="43" fillId="0" borderId="93" xfId="0" applyNumberFormat="1" applyFont="1" applyBorder="1"/>
    <xf numFmtId="170" fontId="46" fillId="0" borderId="18" xfId="0" applyNumberFormat="1" applyFont="1" applyBorder="1" applyAlignment="1">
      <alignment horizontal="center"/>
    </xf>
    <xf numFmtId="170" fontId="46" fillId="0" borderId="18" xfId="0" applyNumberFormat="1" applyFont="1" applyBorder="1"/>
    <xf numFmtId="170" fontId="46" fillId="0" borderId="17" xfId="0" applyNumberFormat="1" applyFont="1" applyBorder="1" applyAlignment="1">
      <alignment horizontal="center"/>
    </xf>
    <xf numFmtId="170" fontId="46" fillId="0" borderId="17" xfId="0" applyNumberFormat="1" applyFont="1" applyBorder="1"/>
    <xf numFmtId="4" fontId="27" fillId="3" borderId="94" xfId="0" applyNumberFormat="1" applyFont="1" applyFill="1" applyBorder="1"/>
    <xf numFmtId="0" fontId="43" fillId="0" borderId="17" xfId="0" applyFont="1" applyBorder="1" applyAlignment="1">
      <alignment horizontal="center"/>
    </xf>
    <xf numFmtId="4" fontId="43" fillId="0" borderId="17" xfId="0" applyNumberFormat="1" applyFont="1" applyBorder="1"/>
    <xf numFmtId="0" fontId="29" fillId="15" borderId="18" xfId="0" applyFont="1" applyFill="1" applyBorder="1" applyAlignment="1">
      <alignment horizontal="center"/>
    </xf>
    <xf numFmtId="0" fontId="47" fillId="15" borderId="18" xfId="0" applyFont="1" applyFill="1" applyBorder="1" applyAlignment="1">
      <alignment horizontal="center"/>
    </xf>
    <xf numFmtId="4" fontId="44" fillId="2" borderId="85" xfId="0" applyNumberFormat="1" applyFont="1" applyFill="1" applyBorder="1"/>
    <xf numFmtId="4" fontId="44" fillId="0" borderId="18" xfId="0" applyNumberFormat="1" applyFont="1" applyBorder="1" applyAlignment="1">
      <alignment horizontal="center"/>
    </xf>
    <xf numFmtId="170" fontId="27" fillId="3" borderId="20" xfId="0" applyNumberFormat="1" applyFont="1" applyFill="1" applyBorder="1" applyAlignment="1">
      <alignment horizontal="right"/>
    </xf>
    <xf numFmtId="4" fontId="43" fillId="0" borderId="18" xfId="0" applyNumberFormat="1" applyFont="1" applyBorder="1" applyAlignment="1">
      <alignment horizontal="center"/>
    </xf>
    <xf numFmtId="4" fontId="28" fillId="15" borderId="18" xfId="0" applyNumberFormat="1" applyFont="1" applyFill="1" applyBorder="1" applyAlignment="1">
      <alignment horizontal="center"/>
    </xf>
    <xf numFmtId="4" fontId="45" fillId="15" borderId="18" xfId="0" applyNumberFormat="1" applyFont="1" applyFill="1" applyBorder="1" applyAlignment="1">
      <alignment horizontal="center"/>
    </xf>
    <xf numFmtId="0" fontId="26" fillId="0" borderId="21" xfId="0" applyFont="1" applyBorder="1" applyAlignment="1">
      <alignment vertical="center" wrapText="1"/>
    </xf>
    <xf numFmtId="170" fontId="26" fillId="0" borderId="18" xfId="0" applyNumberFormat="1" applyFont="1" applyBorder="1" applyAlignment="1">
      <alignment horizontal="center"/>
    </xf>
    <xf numFmtId="170" fontId="26" fillId="0" borderId="18" xfId="0" applyNumberFormat="1" applyFont="1" applyBorder="1"/>
    <xf numFmtId="4" fontId="47" fillId="0" borderId="18" xfId="0" applyNumberFormat="1" applyFont="1" applyBorder="1" applyAlignment="1">
      <alignment horizontal="center"/>
    </xf>
    <xf numFmtId="4" fontId="47" fillId="0" borderId="18" xfId="0" applyNumberFormat="1" applyFont="1" applyBorder="1"/>
    <xf numFmtId="4" fontId="47" fillId="0" borderId="12" xfId="0" applyNumberFormat="1" applyFont="1" applyBorder="1"/>
    <xf numFmtId="0" fontId="26" fillId="15" borderId="70" xfId="0" applyFont="1" applyFill="1" applyBorder="1"/>
    <xf numFmtId="4" fontId="27" fillId="15" borderId="67" xfId="0" applyNumberFormat="1" applyFont="1" applyFill="1" applyBorder="1" applyAlignment="1">
      <alignment horizontal="center"/>
    </xf>
    <xf numFmtId="4" fontId="27" fillId="15" borderId="67" xfId="0" applyNumberFormat="1" applyFont="1" applyFill="1" applyBorder="1"/>
    <xf numFmtId="4" fontId="27" fillId="15" borderId="95" xfId="0" applyNumberFormat="1" applyFont="1" applyFill="1" applyBorder="1"/>
    <xf numFmtId="3" fontId="26" fillId="15" borderId="67" xfId="0" applyNumberFormat="1" applyFont="1" applyFill="1" applyBorder="1"/>
    <xf numFmtId="4" fontId="43" fillId="15" borderId="67" xfId="0" applyNumberFormat="1" applyFont="1" applyFill="1" applyBorder="1" applyAlignment="1">
      <alignment horizontal="center"/>
    </xf>
    <xf numFmtId="4" fontId="43" fillId="15" borderId="67" xfId="0" applyNumberFormat="1" applyFont="1" applyFill="1" applyBorder="1"/>
    <xf numFmtId="4" fontId="44" fillId="15" borderId="96" xfId="0" applyNumberFormat="1" applyFont="1" applyFill="1" applyBorder="1"/>
    <xf numFmtId="0" fontId="27" fillId="0" borderId="97" xfId="0" applyFont="1" applyBorder="1" applyAlignment="1">
      <alignment vertical="center" wrapText="1"/>
    </xf>
    <xf numFmtId="4" fontId="27" fillId="0" borderId="98" xfId="0" applyNumberFormat="1" applyFont="1" applyBorder="1" applyAlignment="1">
      <alignment horizontal="center"/>
    </xf>
    <xf numFmtId="4" fontId="27" fillId="0" borderId="99" xfId="0" applyNumberFormat="1" applyFont="1" applyBorder="1"/>
    <xf numFmtId="4" fontId="27" fillId="0" borderId="100" xfId="0" applyNumberFormat="1" applyFont="1" applyBorder="1"/>
    <xf numFmtId="3" fontId="27" fillId="0" borderId="98" xfId="0" applyNumberFormat="1" applyFont="1" applyBorder="1"/>
    <xf numFmtId="3" fontId="27" fillId="3" borderId="88" xfId="0" applyNumberFormat="1" applyFont="1" applyFill="1" applyBorder="1"/>
    <xf numFmtId="4" fontId="43" fillId="0" borderId="98" xfId="0" applyNumberFormat="1" applyFont="1" applyBorder="1" applyAlignment="1">
      <alignment horizontal="center"/>
    </xf>
    <xf numFmtId="4" fontId="43" fillId="0" borderId="101" xfId="0" applyNumberFormat="1" applyFont="1" applyBorder="1"/>
    <xf numFmtId="4" fontId="43" fillId="0" borderId="99" xfId="0" applyNumberFormat="1" applyFont="1" applyBorder="1"/>
    <xf numFmtId="4" fontId="43" fillId="0" borderId="96" xfId="0" applyNumberFormat="1" applyFont="1" applyBorder="1"/>
    <xf numFmtId="0" fontId="26" fillId="15" borderId="70" xfId="0" applyFont="1" applyFill="1" applyBorder="1" applyAlignment="1">
      <alignment vertical="center" wrapText="1"/>
    </xf>
    <xf numFmtId="4" fontId="28" fillId="15" borderId="67" xfId="0" applyNumberFormat="1" applyFont="1" applyFill="1" applyBorder="1" applyAlignment="1">
      <alignment horizontal="center"/>
    </xf>
    <xf numFmtId="3" fontId="26" fillId="15" borderId="102" xfId="0" applyNumberFormat="1" applyFont="1" applyFill="1" applyBorder="1"/>
    <xf numFmtId="4" fontId="26" fillId="15" borderId="102" xfId="0" applyNumberFormat="1" applyFont="1" applyFill="1" applyBorder="1"/>
    <xf numFmtId="4" fontId="45" fillId="15" borderId="67" xfId="0" applyNumberFormat="1" applyFont="1" applyFill="1" applyBorder="1" applyAlignment="1">
      <alignment horizontal="center"/>
    </xf>
    <xf numFmtId="3" fontId="44" fillId="15" borderId="101" xfId="0" applyNumberFormat="1" applyFont="1" applyFill="1" applyBorder="1"/>
    <xf numFmtId="4" fontId="44" fillId="15" borderId="102" xfId="0" applyNumberFormat="1" applyFont="1" applyFill="1" applyBorder="1"/>
    <xf numFmtId="4" fontId="27" fillId="0" borderId="103" xfId="0" applyNumberFormat="1" applyFont="1" applyBorder="1" applyAlignment="1">
      <alignment horizontal="center"/>
    </xf>
    <xf numFmtId="3" fontId="27" fillId="3" borderId="96" xfId="0" applyNumberFormat="1" applyFont="1" applyFill="1" applyBorder="1"/>
    <xf numFmtId="4" fontId="43" fillId="0" borderId="103" xfId="0" applyNumberFormat="1" applyFont="1" applyBorder="1" applyAlignment="1">
      <alignment horizontal="center"/>
    </xf>
    <xf numFmtId="0" fontId="26" fillId="15" borderId="104" xfId="0" applyFont="1" applyFill="1" applyBorder="1" applyAlignment="1">
      <alignment wrapText="1"/>
    </xf>
    <xf numFmtId="4" fontId="27" fillId="15" borderId="105" xfId="0" applyNumberFormat="1" applyFont="1" applyFill="1" applyBorder="1" applyAlignment="1">
      <alignment horizontal="center"/>
    </xf>
    <xf numFmtId="4" fontId="43" fillId="15" borderId="105" xfId="0" applyNumberFormat="1" applyFont="1" applyFill="1" applyBorder="1" applyAlignment="1">
      <alignment horizontal="center"/>
    </xf>
    <xf numFmtId="0" fontId="27" fillId="17" borderId="97" xfId="0" applyFont="1" applyFill="1" applyBorder="1" applyAlignment="1">
      <alignment vertical="center" wrapText="1"/>
    </xf>
    <xf numFmtId="0" fontId="27" fillId="17" borderId="102" xfId="0" applyFont="1" applyFill="1" applyBorder="1" applyAlignment="1">
      <alignment horizontal="center"/>
    </xf>
    <xf numFmtId="0" fontId="27" fillId="17" borderId="67" xfId="0" applyFont="1" applyFill="1" applyBorder="1"/>
    <xf numFmtId="0" fontId="27" fillId="17" borderId="95" xfId="0" applyFont="1" applyFill="1" applyBorder="1"/>
    <xf numFmtId="0" fontId="27" fillId="17" borderId="106" xfId="0" applyFont="1" applyFill="1" applyBorder="1"/>
    <xf numFmtId="3" fontId="27" fillId="3" borderId="107" xfId="0" applyNumberFormat="1" applyFont="1" applyFill="1" applyBorder="1"/>
    <xf numFmtId="0" fontId="43" fillId="17" borderId="102" xfId="0" applyFont="1" applyFill="1" applyBorder="1" applyAlignment="1">
      <alignment horizontal="center"/>
    </xf>
    <xf numFmtId="0" fontId="43" fillId="17" borderId="101" xfId="0" applyFont="1" applyFill="1" applyBorder="1"/>
    <xf numFmtId="0" fontId="43" fillId="17" borderId="67" xfId="0" applyFont="1" applyFill="1" applyBorder="1"/>
    <xf numFmtId="4" fontId="43" fillId="17" borderId="96" xfId="0" applyNumberFormat="1" applyFont="1" applyFill="1" applyBorder="1"/>
    <xf numFmtId="0" fontId="26" fillId="15" borderId="70" xfId="0" applyFont="1" applyFill="1" applyBorder="1" applyAlignment="1">
      <alignment wrapText="1"/>
    </xf>
    <xf numFmtId="0" fontId="28" fillId="15" borderId="67" xfId="0" applyFont="1" applyFill="1" applyBorder="1" applyAlignment="1">
      <alignment horizontal="center"/>
    </xf>
    <xf numFmtId="0" fontId="28" fillId="15" borderId="67" xfId="0" applyFont="1" applyFill="1" applyBorder="1"/>
    <xf numFmtId="0" fontId="28" fillId="15" borderId="95" xfId="0" applyFont="1" applyFill="1" applyBorder="1"/>
    <xf numFmtId="3" fontId="26" fillId="15" borderId="106" xfId="0" applyNumberFormat="1" applyFont="1" applyFill="1" applyBorder="1"/>
    <xf numFmtId="0" fontId="45" fillId="15" borderId="67" xfId="0" applyFont="1" applyFill="1" applyBorder="1" applyAlignment="1">
      <alignment horizontal="center"/>
    </xf>
    <xf numFmtId="0" fontId="45" fillId="15" borderId="67" xfId="0" applyFont="1" applyFill="1" applyBorder="1"/>
    <xf numFmtId="4" fontId="45" fillId="15" borderId="67" xfId="0" applyNumberFormat="1" applyFont="1" applyFill="1" applyBorder="1"/>
    <xf numFmtId="4" fontId="44" fillId="15" borderId="108" xfId="0" applyNumberFormat="1" applyFont="1" applyFill="1" applyBorder="1"/>
    <xf numFmtId="0" fontId="12" fillId="0" borderId="0" xfId="0" applyFont="1"/>
    <xf numFmtId="0" fontId="46" fillId="0" borderId="0" xfId="0" applyFont="1"/>
    <xf numFmtId="4" fontId="46" fillId="0" borderId="0" xfId="0" applyNumberFormat="1" applyFont="1"/>
    <xf numFmtId="4" fontId="44" fillId="15" borderId="54" xfId="0" applyNumberFormat="1" applyFont="1" applyFill="1" applyBorder="1"/>
    <xf numFmtId="168" fontId="43" fillId="0" borderId="18" xfId="0" applyNumberFormat="1" applyFont="1" applyBorder="1" applyAlignment="1">
      <alignment horizontal="center"/>
    </xf>
    <xf numFmtId="3" fontId="43" fillId="0" borderId="12" xfId="0" applyNumberFormat="1" applyFont="1" applyBorder="1"/>
    <xf numFmtId="0" fontId="60" fillId="0" borderId="109" xfId="2" applyFont="1" applyBorder="1" applyAlignment="1">
      <alignment horizontal="left" vertical="center" wrapText="1"/>
    </xf>
    <xf numFmtId="0" fontId="60" fillId="0" borderId="109" xfId="2" applyFont="1" applyBorder="1" applyAlignment="1">
      <alignment horizontal="center" vertical="top" wrapText="1"/>
    </xf>
    <xf numFmtId="0" fontId="62" fillId="0" borderId="109" xfId="2" applyFont="1" applyBorder="1" applyAlignment="1">
      <alignment vertical="top" wrapText="1"/>
    </xf>
    <xf numFmtId="0" fontId="62" fillId="0" borderId="109" xfId="2" applyFont="1" applyBorder="1" applyAlignment="1">
      <alignment vertical="top"/>
    </xf>
    <xf numFmtId="0" fontId="62" fillId="0" borderId="109" xfId="2" applyFont="1" applyBorder="1"/>
    <xf numFmtId="0" fontId="63" fillId="0" borderId="8" xfId="2" applyFont="1"/>
    <xf numFmtId="0" fontId="59" fillId="0" borderId="8" xfId="2"/>
    <xf numFmtId="0" fontId="60" fillId="15" borderId="109" xfId="2" applyFont="1" applyFill="1" applyBorder="1" applyAlignment="1">
      <alignment horizontal="center" vertical="center" wrapText="1"/>
    </xf>
    <xf numFmtId="0" fontId="60" fillId="15" borderId="109" xfId="2" applyFont="1" applyFill="1" applyBorder="1" applyAlignment="1">
      <alignment horizontal="center" vertical="center"/>
    </xf>
    <xf numFmtId="4" fontId="60" fillId="15" borderId="109" xfId="2" applyNumberFormat="1" applyFont="1" applyFill="1" applyBorder="1" applyAlignment="1">
      <alignment horizontal="center" vertical="center"/>
    </xf>
    <xf numFmtId="1" fontId="62" fillId="0" borderId="109" xfId="2" applyNumberFormat="1" applyFont="1" applyBorder="1"/>
    <xf numFmtId="0" fontId="60" fillId="0" borderId="109" xfId="2" applyFont="1" applyBorder="1" applyAlignment="1">
      <alignment horizontal="center" wrapText="1"/>
    </xf>
    <xf numFmtId="0" fontId="60" fillId="0" borderId="109" xfId="2" applyFont="1" applyBorder="1" applyAlignment="1">
      <alignment horizontal="center" vertical="center"/>
    </xf>
    <xf numFmtId="0" fontId="60" fillId="23" borderId="109" xfId="2" applyFont="1" applyFill="1" applyBorder="1" applyAlignment="1">
      <alignment vertical="center" wrapText="1"/>
    </xf>
    <xf numFmtId="0" fontId="60" fillId="23" borderId="109" xfId="2" applyFont="1" applyFill="1" applyBorder="1" applyAlignment="1">
      <alignment horizontal="center" vertical="center" wrapText="1"/>
    </xf>
    <xf numFmtId="0" fontId="60" fillId="23" borderId="109" xfId="2" applyFont="1" applyFill="1" applyBorder="1" applyAlignment="1">
      <alignment horizontal="right" vertical="center"/>
    </xf>
    <xf numFmtId="4" fontId="60" fillId="23" borderId="109" xfId="2" applyNumberFormat="1" applyFont="1" applyFill="1" applyBorder="1" applyAlignment="1">
      <alignment horizontal="right" vertical="center"/>
    </xf>
    <xf numFmtId="0" fontId="64" fillId="0" borderId="109" xfId="2" applyFont="1" applyBorder="1" applyAlignment="1">
      <alignment vertical="center" wrapText="1"/>
    </xf>
    <xf numFmtId="0" fontId="62" fillId="0" borderId="109" xfId="2" applyFont="1" applyBorder="1" applyAlignment="1">
      <alignment horizontal="center" vertical="center" wrapText="1"/>
    </xf>
    <xf numFmtId="0" fontId="62" fillId="0" borderId="109" xfId="2" applyFont="1" applyBorder="1" applyAlignment="1">
      <alignment horizontal="right" vertical="center"/>
    </xf>
    <xf numFmtId="4" fontId="62" fillId="0" borderId="109" xfId="2" applyNumberFormat="1" applyFont="1" applyBorder="1" applyAlignment="1">
      <alignment horizontal="right" vertical="center"/>
    </xf>
    <xf numFmtId="0" fontId="62" fillId="0" borderId="109" xfId="2" applyFont="1" applyBorder="1" applyAlignment="1">
      <alignment horizontal="center" vertical="center"/>
    </xf>
    <xf numFmtId="4" fontId="60" fillId="0" borderId="109" xfId="2" applyNumberFormat="1" applyFont="1" applyBorder="1" applyAlignment="1">
      <alignment horizontal="right" vertical="center"/>
    </xf>
    <xf numFmtId="0" fontId="63" fillId="0" borderId="109" xfId="2" applyFont="1" applyBorder="1"/>
    <xf numFmtId="0" fontId="60" fillId="24" borderId="109" xfId="2" applyFont="1" applyFill="1" applyBorder="1" applyAlignment="1">
      <alignment vertical="center" wrapText="1"/>
    </xf>
    <xf numFmtId="0" fontId="60" fillId="24" borderId="109" xfId="2" applyFont="1" applyFill="1" applyBorder="1" applyAlignment="1">
      <alignment horizontal="center" vertical="center" wrapText="1"/>
    </xf>
    <xf numFmtId="0" fontId="60" fillId="24" borderId="109" xfId="2" applyFont="1" applyFill="1" applyBorder="1" applyAlignment="1">
      <alignment horizontal="right" vertical="center"/>
    </xf>
    <xf numFmtId="4" fontId="60" fillId="24" borderId="109" xfId="2" applyNumberFormat="1" applyFont="1" applyFill="1" applyBorder="1" applyAlignment="1">
      <alignment horizontal="right" vertical="center"/>
    </xf>
    <xf numFmtId="0" fontId="62" fillId="0" borderId="109" xfId="2" applyFont="1" applyBorder="1" applyAlignment="1">
      <alignment vertical="center" wrapText="1"/>
    </xf>
    <xf numFmtId="0" fontId="62" fillId="4" borderId="109" xfId="2" applyFont="1" applyFill="1" applyBorder="1" applyAlignment="1">
      <alignment horizontal="right" vertical="center"/>
    </xf>
    <xf numFmtId="3" fontId="62" fillId="0" borderId="109" xfId="2" applyNumberFormat="1" applyFont="1" applyBorder="1" applyAlignment="1">
      <alignment horizontal="center" vertical="center"/>
    </xf>
    <xf numFmtId="0" fontId="62" fillId="0" borderId="109" xfId="2" applyFont="1" applyBorder="1" applyAlignment="1">
      <alignment horizontal="left" vertical="top" wrapText="1"/>
    </xf>
    <xf numFmtId="0" fontId="60" fillId="0" borderId="109" xfId="2" applyFont="1" applyBorder="1"/>
    <xf numFmtId="4" fontId="62" fillId="0" borderId="109" xfId="2" applyNumberFormat="1" applyFont="1" applyBorder="1" applyAlignment="1">
      <alignment horizontal="center" vertical="center"/>
    </xf>
    <xf numFmtId="4" fontId="62" fillId="0" borderId="109" xfId="2" applyNumberFormat="1" applyFont="1" applyBorder="1" applyAlignment="1">
      <alignment vertical="center"/>
    </xf>
    <xf numFmtId="0" fontId="62" fillId="0" borderId="109" xfId="2" applyFont="1" applyBorder="1" applyAlignment="1">
      <alignment vertical="center"/>
    </xf>
    <xf numFmtId="4" fontId="62" fillId="0" borderId="109" xfId="2" applyNumberFormat="1" applyFont="1" applyBorder="1"/>
    <xf numFmtId="0" fontId="62" fillId="0" borderId="109" xfId="2" applyFont="1" applyBorder="1" applyAlignment="1">
      <alignment horizontal="left" vertical="center" wrapText="1"/>
    </xf>
    <xf numFmtId="166" fontId="62" fillId="0" borderId="109" xfId="2" applyNumberFormat="1" applyFont="1" applyBorder="1"/>
    <xf numFmtId="0" fontId="62" fillId="25" borderId="109" xfId="2" applyFont="1" applyFill="1" applyBorder="1" applyAlignment="1">
      <alignment horizontal="right" vertical="center"/>
    </xf>
    <xf numFmtId="4" fontId="62" fillId="24" borderId="109" xfId="2" applyNumberFormat="1" applyFont="1" applyFill="1" applyBorder="1" applyAlignment="1">
      <alignment horizontal="right" vertical="center"/>
    </xf>
    <xf numFmtId="0" fontId="60" fillId="0" borderId="109" xfId="2" applyFont="1" applyBorder="1" applyAlignment="1">
      <alignment horizontal="center" vertical="center" wrapText="1"/>
    </xf>
    <xf numFmtId="0" fontId="62" fillId="0" borderId="109" xfId="2" applyFont="1" applyBorder="1" applyAlignment="1">
      <alignment wrapText="1"/>
    </xf>
    <xf numFmtId="0" fontId="60" fillId="4" borderId="109" xfId="2" applyFont="1" applyFill="1" applyBorder="1"/>
    <xf numFmtId="0" fontId="62" fillId="24" borderId="109" xfId="2" applyFont="1" applyFill="1" applyBorder="1" applyAlignment="1">
      <alignment horizontal="center" vertical="center" wrapText="1"/>
    </xf>
    <xf numFmtId="0" fontId="62" fillId="24" borderId="109" xfId="2" applyFont="1" applyFill="1" applyBorder="1" applyAlignment="1">
      <alignment horizontal="right" vertical="center"/>
    </xf>
    <xf numFmtId="0" fontId="60" fillId="0" borderId="109" xfId="2" applyFont="1" applyBorder="1" applyAlignment="1">
      <alignment vertical="center" wrapText="1"/>
    </xf>
    <xf numFmtId="0" fontId="60" fillId="0" borderId="109" xfId="2" applyFont="1" applyBorder="1" applyAlignment="1">
      <alignment horizontal="right" vertical="center"/>
    </xf>
    <xf numFmtId="4" fontId="60" fillId="0" borderId="109" xfId="2" applyNumberFormat="1" applyFont="1" applyBorder="1" applyAlignment="1">
      <alignment horizontal="right"/>
    </xf>
    <xf numFmtId="3" fontId="62" fillId="4" borderId="109" xfId="2" applyNumberFormat="1" applyFont="1" applyFill="1" applyBorder="1" applyAlignment="1">
      <alignment horizontal="center" vertical="center"/>
    </xf>
    <xf numFmtId="4" fontId="62" fillId="4" borderId="109" xfId="2" applyNumberFormat="1" applyFont="1" applyFill="1" applyBorder="1" applyAlignment="1">
      <alignment horizontal="right" vertical="center"/>
    </xf>
    <xf numFmtId="0" fontId="60" fillId="0" borderId="109" xfId="2" applyFont="1" applyBorder="1" applyAlignment="1">
      <alignment vertical="top" wrapText="1"/>
    </xf>
    <xf numFmtId="1" fontId="60" fillId="0" borderId="109" xfId="2" applyNumberFormat="1" applyFont="1" applyBorder="1"/>
    <xf numFmtId="0" fontId="62" fillId="4" borderId="109" xfId="2" applyFont="1" applyFill="1" applyBorder="1" applyAlignment="1">
      <alignment vertical="center" wrapText="1"/>
    </xf>
    <xf numFmtId="0" fontId="64" fillId="26" borderId="109" xfId="2" applyFont="1" applyFill="1" applyBorder="1" applyAlignment="1">
      <alignment vertical="center" wrapText="1"/>
    </xf>
    <xf numFmtId="0" fontId="64" fillId="27" borderId="109" xfId="2" applyFont="1" applyFill="1" applyBorder="1" applyAlignment="1">
      <alignment horizontal="center" vertical="center" wrapText="1"/>
    </xf>
    <xf numFmtId="0" fontId="64" fillId="27" borderId="109" xfId="2" applyFont="1" applyFill="1" applyBorder="1" applyAlignment="1">
      <alignment horizontal="right" vertical="center"/>
    </xf>
    <xf numFmtId="4" fontId="60" fillId="27" borderId="109" xfId="2" applyNumberFormat="1" applyFont="1" applyFill="1" applyBorder="1" applyAlignment="1">
      <alignment horizontal="right" vertical="center"/>
    </xf>
    <xf numFmtId="0" fontId="60" fillId="28" borderId="109" xfId="2" applyFont="1" applyFill="1" applyBorder="1" applyAlignment="1">
      <alignment vertical="center" wrapText="1"/>
    </xf>
    <xf numFmtId="0" fontId="60" fillId="28" borderId="109" xfId="2" applyFont="1" applyFill="1" applyBorder="1" applyAlignment="1">
      <alignment horizontal="center" vertical="center" wrapText="1"/>
    </xf>
    <xf numFmtId="0" fontId="60" fillId="28" borderId="109" xfId="2" applyFont="1" applyFill="1" applyBorder="1" applyAlignment="1">
      <alignment horizontal="right" vertical="center"/>
    </xf>
    <xf numFmtId="4" fontId="60" fillId="28" borderId="109" xfId="2" applyNumberFormat="1" applyFont="1" applyFill="1" applyBorder="1" applyAlignment="1">
      <alignment horizontal="right" vertical="center"/>
    </xf>
    <xf numFmtId="0" fontId="60" fillId="28" borderId="109" xfId="2" applyFont="1" applyFill="1" applyBorder="1" applyAlignment="1">
      <alignment horizontal="center" vertical="center"/>
    </xf>
    <xf numFmtId="0" fontId="60" fillId="4" borderId="109" xfId="2" applyFont="1" applyFill="1" applyBorder="1" applyAlignment="1">
      <alignment vertical="center" wrapText="1"/>
    </xf>
    <xf numFmtId="0" fontId="62" fillId="0" borderId="109" xfId="2" applyFont="1" applyBorder="1" applyAlignment="1">
      <alignment horizontal="center"/>
    </xf>
    <xf numFmtId="4" fontId="62" fillId="0" borderId="109" xfId="2" applyNumberFormat="1" applyFont="1" applyBorder="1" applyAlignment="1">
      <alignment horizontal="center"/>
    </xf>
    <xf numFmtId="0" fontId="60" fillId="4" borderId="109" xfId="2" applyFont="1" applyFill="1" applyBorder="1" applyAlignment="1">
      <alignment horizontal="right" vertical="center"/>
    </xf>
    <xf numFmtId="0" fontId="66" fillId="0" borderId="8" xfId="2" applyFont="1"/>
    <xf numFmtId="0" fontId="64" fillId="29" borderId="109" xfId="2" applyFont="1" applyFill="1" applyBorder="1" applyAlignment="1">
      <alignment vertical="center" wrapText="1"/>
    </xf>
    <xf numFmtId="0" fontId="64" fillId="29" borderId="109" xfId="2" applyFont="1" applyFill="1" applyBorder="1" applyAlignment="1">
      <alignment horizontal="center" vertical="center" wrapText="1"/>
    </xf>
    <xf numFmtId="0" fontId="64" fillId="29" borderId="109" xfId="2" applyFont="1" applyFill="1" applyBorder="1" applyAlignment="1">
      <alignment horizontal="right" vertical="center"/>
    </xf>
    <xf numFmtId="4" fontId="64" fillId="29" borderId="109" xfId="2" applyNumberFormat="1" applyFont="1" applyFill="1" applyBorder="1" applyAlignment="1">
      <alignment horizontal="right" vertical="center"/>
    </xf>
    <xf numFmtId="4" fontId="60" fillId="29" borderId="109" xfId="2" applyNumberFormat="1" applyFont="1" applyFill="1" applyBorder="1" applyAlignment="1">
      <alignment horizontal="right" vertical="center"/>
    </xf>
    <xf numFmtId="0" fontId="64" fillId="29" borderId="109" xfId="2" applyFont="1" applyFill="1" applyBorder="1" applyAlignment="1">
      <alignment horizontal="center" vertical="center"/>
    </xf>
    <xf numFmtId="0" fontId="60" fillId="30" borderId="109" xfId="2" applyFont="1" applyFill="1" applyBorder="1" applyAlignment="1">
      <alignment vertical="center" wrapText="1"/>
    </xf>
    <xf numFmtId="0" fontId="60" fillId="30" borderId="109" xfId="2" applyFont="1" applyFill="1" applyBorder="1" applyAlignment="1">
      <alignment horizontal="center" vertical="center" wrapText="1"/>
    </xf>
    <xf numFmtId="0" fontId="60" fillId="30" borderId="109" xfId="2" applyFont="1" applyFill="1" applyBorder="1" applyAlignment="1">
      <alignment horizontal="right" vertical="center"/>
    </xf>
    <xf numFmtId="4" fontId="60" fillId="30" borderId="109" xfId="2" applyNumberFormat="1" applyFont="1" applyFill="1" applyBorder="1" applyAlignment="1">
      <alignment horizontal="right" vertical="center"/>
    </xf>
    <xf numFmtId="0" fontId="60" fillId="30" borderId="109" xfId="2" applyFont="1" applyFill="1" applyBorder="1" applyAlignment="1">
      <alignment horizontal="center" vertical="center"/>
    </xf>
    <xf numFmtId="4" fontId="62" fillId="0" borderId="109" xfId="1" applyNumberFormat="1" applyFont="1" applyBorder="1" applyAlignment="1">
      <alignment horizontal="right"/>
    </xf>
    <xf numFmtId="4" fontId="60" fillId="0" borderId="109" xfId="2" applyNumberFormat="1" applyFont="1" applyBorder="1" applyAlignment="1">
      <alignment horizontal="center" vertical="center"/>
    </xf>
    <xf numFmtId="4" fontId="60" fillId="0" borderId="109" xfId="2" applyNumberFormat="1" applyFont="1" applyBorder="1" applyAlignment="1">
      <alignment horizontal="center"/>
    </xf>
    <xf numFmtId="4" fontId="60" fillId="0" borderId="109" xfId="2" applyNumberFormat="1" applyFont="1" applyBorder="1"/>
    <xf numFmtId="0" fontId="64" fillId="31" borderId="109" xfId="2" applyFont="1" applyFill="1" applyBorder="1" applyAlignment="1">
      <alignment vertical="center" wrapText="1"/>
    </xf>
    <xf numFmtId="0" fontId="64" fillId="31" borderId="109" xfId="2" applyFont="1" applyFill="1" applyBorder="1" applyAlignment="1">
      <alignment horizontal="center" vertical="center" wrapText="1"/>
    </xf>
    <xf numFmtId="0" fontId="64" fillId="31" borderId="109" xfId="2" applyFont="1" applyFill="1" applyBorder="1" applyAlignment="1">
      <alignment horizontal="right" vertical="center"/>
    </xf>
    <xf numFmtId="4" fontId="64" fillId="31" borderId="109" xfId="2" applyNumberFormat="1" applyFont="1" applyFill="1" applyBorder="1" applyAlignment="1">
      <alignment horizontal="right" vertical="center"/>
    </xf>
    <xf numFmtId="4" fontId="60" fillId="31" borderId="109" xfId="2" applyNumberFormat="1" applyFont="1" applyFill="1" applyBorder="1" applyAlignment="1">
      <alignment horizontal="right" vertical="center"/>
    </xf>
    <xf numFmtId="0" fontId="64" fillId="31" borderId="109" xfId="2" applyFont="1" applyFill="1" applyBorder="1" applyAlignment="1">
      <alignment horizontal="center" vertical="center"/>
    </xf>
    <xf numFmtId="0" fontId="60" fillId="32" borderId="109" xfId="2" applyFont="1" applyFill="1" applyBorder="1" applyAlignment="1">
      <alignment vertical="center" wrapText="1"/>
    </xf>
    <xf numFmtId="0" fontId="62" fillId="32" borderId="109" xfId="2" applyFont="1" applyFill="1" applyBorder="1" applyAlignment="1">
      <alignment horizontal="center" vertical="center" wrapText="1"/>
    </xf>
    <xf numFmtId="0" fontId="62" fillId="32" borderId="109" xfId="2" applyFont="1" applyFill="1" applyBorder="1" applyAlignment="1">
      <alignment horizontal="right" vertical="center"/>
    </xf>
    <xf numFmtId="4" fontId="62" fillId="32" borderId="109" xfId="2" applyNumberFormat="1" applyFont="1" applyFill="1" applyBorder="1" applyAlignment="1">
      <alignment horizontal="right" vertical="center"/>
    </xf>
    <xf numFmtId="0" fontId="62" fillId="32" borderId="109" xfId="2" applyFont="1" applyFill="1" applyBorder="1" applyAlignment="1">
      <alignment horizontal="center" vertical="center"/>
    </xf>
    <xf numFmtId="4" fontId="60" fillId="32" borderId="109" xfId="2" applyNumberFormat="1" applyFont="1" applyFill="1" applyBorder="1" applyAlignment="1">
      <alignment horizontal="right" vertical="center"/>
    </xf>
    <xf numFmtId="0" fontId="64" fillId="33" borderId="109" xfId="2" applyFont="1" applyFill="1" applyBorder="1" applyAlignment="1">
      <alignment vertical="center" wrapText="1"/>
    </xf>
    <xf numFmtId="0" fontId="67" fillId="33" borderId="109" xfId="2" applyFont="1" applyFill="1" applyBorder="1" applyAlignment="1">
      <alignment horizontal="center" vertical="center" wrapText="1"/>
    </xf>
    <xf numFmtId="0" fontId="67" fillId="33" borderId="109" xfId="2" applyFont="1" applyFill="1" applyBorder="1" applyAlignment="1">
      <alignment horizontal="right" vertical="center"/>
    </xf>
    <xf numFmtId="4" fontId="67" fillId="33" borderId="109" xfId="2" applyNumberFormat="1" applyFont="1" applyFill="1" applyBorder="1" applyAlignment="1">
      <alignment horizontal="right" vertical="center"/>
    </xf>
    <xf numFmtId="4" fontId="60" fillId="33" borderId="109" xfId="2" applyNumberFormat="1" applyFont="1" applyFill="1" applyBorder="1" applyAlignment="1">
      <alignment horizontal="right" vertical="center"/>
    </xf>
    <xf numFmtId="0" fontId="67" fillId="33" borderId="109" xfId="2" applyFont="1" applyFill="1" applyBorder="1" applyAlignment="1">
      <alignment horizontal="center" vertical="center"/>
    </xf>
    <xf numFmtId="0" fontId="60" fillId="34" borderId="109" xfId="2" applyFont="1" applyFill="1" applyBorder="1" applyAlignment="1">
      <alignment vertical="center" wrapText="1"/>
    </xf>
    <xf numFmtId="0" fontId="60" fillId="34" borderId="109" xfId="2" applyFont="1" applyFill="1" applyBorder="1" applyAlignment="1">
      <alignment horizontal="center" vertical="center" wrapText="1"/>
    </xf>
    <xf numFmtId="0" fontId="60" fillId="34" borderId="109" xfId="2" applyFont="1" applyFill="1" applyBorder="1" applyAlignment="1">
      <alignment horizontal="right" vertical="center"/>
    </xf>
    <xf numFmtId="4" fontId="60" fillId="34" borderId="109" xfId="2" applyNumberFormat="1" applyFont="1" applyFill="1" applyBorder="1" applyAlignment="1">
      <alignment horizontal="right" vertical="center"/>
    </xf>
    <xf numFmtId="0" fontId="60" fillId="34" borderId="109" xfId="2" applyFont="1" applyFill="1" applyBorder="1" applyAlignment="1">
      <alignment horizontal="center" vertical="center"/>
    </xf>
    <xf numFmtId="0" fontId="68" fillId="0" borderId="8" xfId="2" applyFont="1"/>
    <xf numFmtId="0" fontId="62" fillId="35" borderId="109" xfId="2" applyFont="1" applyFill="1" applyBorder="1"/>
    <xf numFmtId="1" fontId="62" fillId="35" borderId="109" xfId="2" applyNumberFormat="1" applyFont="1" applyFill="1" applyBorder="1"/>
    <xf numFmtId="4" fontId="62" fillId="35" borderId="109" xfId="2" applyNumberFormat="1" applyFont="1" applyFill="1" applyBorder="1" applyAlignment="1">
      <alignment vertical="center"/>
    </xf>
    <xf numFmtId="0" fontId="63" fillId="35" borderId="8" xfId="2" applyFont="1" applyFill="1"/>
    <xf numFmtId="0" fontId="59" fillId="35" borderId="8" xfId="2" applyFill="1"/>
    <xf numFmtId="3" fontId="62" fillId="0" borderId="109" xfId="2" applyNumberFormat="1" applyFont="1" applyBorder="1" applyAlignment="1">
      <alignment horizontal="center" vertical="center" wrapText="1"/>
    </xf>
    <xf numFmtId="3" fontId="62" fillId="0" borderId="109" xfId="2" applyNumberFormat="1" applyFont="1" applyBorder="1" applyAlignment="1">
      <alignment horizontal="right" vertical="center"/>
    </xf>
    <xf numFmtId="3" fontId="60" fillId="0" borderId="109" xfId="2" applyNumberFormat="1" applyFont="1" applyBorder="1" applyAlignment="1">
      <alignment horizontal="center" vertical="center" wrapText="1"/>
    </xf>
    <xf numFmtId="3" fontId="60" fillId="0" borderId="109" xfId="2" applyNumberFormat="1" applyFont="1" applyBorder="1" applyAlignment="1">
      <alignment horizontal="right" vertical="center"/>
    </xf>
    <xf numFmtId="3" fontId="62" fillId="4" borderId="109" xfId="2" applyNumberFormat="1" applyFont="1" applyFill="1" applyBorder="1" applyAlignment="1">
      <alignment horizontal="center" vertical="center" wrapText="1"/>
    </xf>
    <xf numFmtId="3" fontId="62" fillId="4" borderId="109" xfId="2" applyNumberFormat="1" applyFont="1" applyFill="1" applyBorder="1" applyAlignment="1">
      <alignment horizontal="right" vertical="center"/>
    </xf>
    <xf numFmtId="0" fontId="62" fillId="4" borderId="109" xfId="2" applyFont="1" applyFill="1" applyBorder="1" applyAlignment="1">
      <alignment horizontal="center" vertical="center"/>
    </xf>
    <xf numFmtId="0" fontId="62" fillId="4" borderId="109" xfId="2" applyFont="1" applyFill="1" applyBorder="1"/>
    <xf numFmtId="1" fontId="62" fillId="4" borderId="109" xfId="2" applyNumberFormat="1" applyFont="1" applyFill="1" applyBorder="1"/>
    <xf numFmtId="4" fontId="62" fillId="4" borderId="109" xfId="2" applyNumberFormat="1" applyFont="1" applyFill="1" applyBorder="1" applyAlignment="1">
      <alignment horizontal="center" vertical="center"/>
    </xf>
    <xf numFmtId="0" fontId="63" fillId="4" borderId="8" xfId="2" applyFont="1" applyFill="1"/>
    <xf numFmtId="3" fontId="60" fillId="4" borderId="109" xfId="2" applyNumberFormat="1" applyFont="1" applyFill="1" applyBorder="1" applyAlignment="1">
      <alignment horizontal="center" vertical="center" wrapText="1"/>
    </xf>
    <xf numFmtId="0" fontId="64" fillId="36" borderId="109" xfId="2" applyFont="1" applyFill="1" applyBorder="1" applyAlignment="1">
      <alignment vertical="center" wrapText="1"/>
    </xf>
    <xf numFmtId="0" fontId="64" fillId="36" borderId="109" xfId="2" applyFont="1" applyFill="1" applyBorder="1" applyAlignment="1">
      <alignment horizontal="center" vertical="center" wrapText="1"/>
    </xf>
    <xf numFmtId="0" fontId="64" fillId="36" borderId="109" xfId="2" applyFont="1" applyFill="1" applyBorder="1" applyAlignment="1">
      <alignment horizontal="right" vertical="center"/>
    </xf>
    <xf numFmtId="4" fontId="64" fillId="36" borderId="109" xfId="2" applyNumberFormat="1" applyFont="1" applyFill="1" applyBorder="1" applyAlignment="1">
      <alignment horizontal="right" vertical="center"/>
    </xf>
    <xf numFmtId="4" fontId="60" fillId="36" borderId="109" xfId="2" applyNumberFormat="1" applyFont="1" applyFill="1" applyBorder="1" applyAlignment="1">
      <alignment horizontal="right" vertical="center"/>
    </xf>
    <xf numFmtId="0" fontId="64" fillId="36" borderId="109" xfId="2" applyFont="1" applyFill="1" applyBorder="1" applyAlignment="1">
      <alignment horizontal="center" vertical="center"/>
    </xf>
    <xf numFmtId="3" fontId="62" fillId="28" borderId="109" xfId="2" applyNumberFormat="1" applyFont="1" applyFill="1" applyBorder="1" applyAlignment="1">
      <alignment horizontal="center" vertical="center" wrapText="1"/>
    </xf>
    <xf numFmtId="3" fontId="62" fillId="28" borderId="109" xfId="2" applyNumberFormat="1" applyFont="1" applyFill="1" applyBorder="1" applyAlignment="1">
      <alignment horizontal="right" vertical="center"/>
    </xf>
    <xf numFmtId="4" fontId="67" fillId="28" borderId="109" xfId="2" applyNumberFormat="1" applyFont="1" applyFill="1" applyBorder="1" applyAlignment="1">
      <alignment horizontal="right" vertical="center"/>
    </xf>
    <xf numFmtId="0" fontId="67" fillId="28" borderId="109" xfId="2" applyFont="1" applyFill="1" applyBorder="1" applyAlignment="1">
      <alignment horizontal="center" vertical="center"/>
    </xf>
    <xf numFmtId="4" fontId="62" fillId="28" borderId="109" xfId="2" applyNumberFormat="1" applyFont="1" applyFill="1" applyBorder="1" applyAlignment="1">
      <alignment horizontal="right" vertical="center"/>
    </xf>
    <xf numFmtId="4" fontId="67" fillId="0" borderId="109" xfId="2" applyNumberFormat="1" applyFont="1" applyBorder="1" applyAlignment="1">
      <alignment horizontal="right" vertical="center"/>
    </xf>
    <xf numFmtId="0" fontId="67" fillId="0" borderId="109" xfId="2" applyFont="1" applyBorder="1" applyAlignment="1">
      <alignment horizontal="center" vertical="center"/>
    </xf>
    <xf numFmtId="0" fontId="60" fillId="37" borderId="109" xfId="2" applyFont="1" applyFill="1" applyBorder="1" applyAlignment="1">
      <alignment vertical="center" wrapText="1"/>
    </xf>
    <xf numFmtId="0" fontId="62" fillId="37" borderId="109" xfId="2" applyFont="1" applyFill="1" applyBorder="1" applyAlignment="1">
      <alignment horizontal="center" vertical="center" wrapText="1"/>
    </xf>
    <xf numFmtId="0" fontId="62" fillId="37" borderId="109" xfId="2" applyFont="1" applyFill="1" applyBorder="1" applyAlignment="1">
      <alignment horizontal="right" vertical="center"/>
    </xf>
    <xf numFmtId="4" fontId="62" fillId="37" borderId="109" xfId="2" applyNumberFormat="1" applyFont="1" applyFill="1" applyBorder="1" applyAlignment="1">
      <alignment horizontal="right" vertical="center"/>
    </xf>
    <xf numFmtId="4" fontId="60" fillId="37" borderId="109" xfId="2" applyNumberFormat="1" applyFont="1" applyFill="1" applyBorder="1" applyAlignment="1">
      <alignment horizontal="right" vertical="center"/>
    </xf>
    <xf numFmtId="4" fontId="60" fillId="4" borderId="109" xfId="2" applyNumberFormat="1" applyFont="1" applyFill="1" applyBorder="1" applyAlignment="1">
      <alignment horizontal="right" vertical="center"/>
    </xf>
    <xf numFmtId="0" fontId="64" fillId="37" borderId="109" xfId="2" applyFont="1" applyFill="1" applyBorder="1" applyAlignment="1">
      <alignment horizontal="center" vertical="center" wrapText="1"/>
    </xf>
    <xf numFmtId="0" fontId="64" fillId="37" borderId="109" xfId="2" applyFont="1" applyFill="1" applyBorder="1" applyAlignment="1">
      <alignment horizontal="right" vertical="center"/>
    </xf>
    <xf numFmtId="4" fontId="64" fillId="37" borderId="109" xfId="2" applyNumberFormat="1" applyFont="1" applyFill="1" applyBorder="1" applyAlignment="1">
      <alignment horizontal="right" vertical="center"/>
    </xf>
    <xf numFmtId="4" fontId="60" fillId="38" borderId="109" xfId="2" applyNumberFormat="1" applyFont="1" applyFill="1" applyBorder="1" applyAlignment="1">
      <alignment horizontal="right" vertical="center"/>
    </xf>
    <xf numFmtId="0" fontId="64" fillId="38" borderId="109" xfId="2" applyFont="1" applyFill="1" applyBorder="1" applyAlignment="1">
      <alignment horizontal="right" vertical="center"/>
    </xf>
    <xf numFmtId="4" fontId="64" fillId="38" borderId="109" xfId="2" applyNumberFormat="1" applyFont="1" applyFill="1" applyBorder="1" applyAlignment="1">
      <alignment horizontal="right" vertical="center"/>
    </xf>
    <xf numFmtId="167" fontId="60" fillId="4" borderId="109" xfId="2" applyNumberFormat="1" applyFont="1" applyFill="1" applyBorder="1" applyAlignment="1">
      <alignment horizontal="right" vertical="center"/>
    </xf>
    <xf numFmtId="167" fontId="64" fillId="37" borderId="109" xfId="2" applyNumberFormat="1" applyFont="1" applyFill="1" applyBorder="1" applyAlignment="1">
      <alignment horizontal="right" vertical="center"/>
    </xf>
    <xf numFmtId="0" fontId="62" fillId="17" borderId="109" xfId="2" applyFont="1" applyFill="1" applyBorder="1" applyAlignment="1">
      <alignment vertical="center" wrapText="1"/>
    </xf>
    <xf numFmtId="0" fontId="62" fillId="17" borderId="109" xfId="2" applyFont="1" applyFill="1" applyBorder="1" applyAlignment="1">
      <alignment horizontal="center" vertical="center" wrapText="1"/>
    </xf>
    <xf numFmtId="0" fontId="62" fillId="17" borderId="109" xfId="2" applyFont="1" applyFill="1" applyBorder="1" applyAlignment="1">
      <alignment horizontal="right" vertical="center"/>
    </xf>
    <xf numFmtId="4" fontId="62" fillId="17" borderId="109" xfId="2" applyNumberFormat="1" applyFont="1" applyFill="1" applyBorder="1" applyAlignment="1">
      <alignment horizontal="right" vertical="center"/>
    </xf>
    <xf numFmtId="4" fontId="60" fillId="17" borderId="109" xfId="2" applyNumberFormat="1" applyFont="1" applyFill="1" applyBorder="1" applyAlignment="1">
      <alignment horizontal="right" vertical="center"/>
    </xf>
    <xf numFmtId="4" fontId="60" fillId="4" borderId="109" xfId="2" applyNumberFormat="1" applyFont="1" applyFill="1" applyBorder="1" applyAlignment="1">
      <alignment horizontal="center" vertical="center"/>
    </xf>
    <xf numFmtId="167" fontId="60" fillId="38" borderId="109" xfId="2" applyNumberFormat="1" applyFont="1" applyFill="1" applyBorder="1" applyAlignment="1">
      <alignment horizontal="right" vertical="center"/>
    </xf>
    <xf numFmtId="0" fontId="62" fillId="0" borderId="8" xfId="2" applyFont="1" applyAlignment="1">
      <alignment vertical="center" wrapText="1"/>
    </xf>
    <xf numFmtId="0" fontId="62" fillId="0" borderId="8" xfId="2" applyFont="1" applyAlignment="1">
      <alignment wrapText="1"/>
    </xf>
    <xf numFmtId="0" fontId="62" fillId="0" borderId="8" xfId="2" applyFont="1"/>
    <xf numFmtId="167" fontId="62" fillId="4" borderId="8" xfId="2" applyNumberFormat="1" applyFont="1" applyFill="1"/>
    <xf numFmtId="4" fontId="62" fillId="0" borderId="8" xfId="2" applyNumberFormat="1" applyFont="1"/>
    <xf numFmtId="1" fontId="62" fillId="0" borderId="8" xfId="2" applyNumberFormat="1" applyFont="1"/>
    <xf numFmtId="172" fontId="62" fillId="0" borderId="8" xfId="2" applyNumberFormat="1" applyFont="1"/>
    <xf numFmtId="169" fontId="62" fillId="0" borderId="8" xfId="2" applyNumberFormat="1" applyFont="1"/>
    <xf numFmtId="9" fontId="62" fillId="0" borderId="8" xfId="2" applyNumberFormat="1" applyFont="1"/>
    <xf numFmtId="4" fontId="60" fillId="0" borderId="18" xfId="2" applyNumberFormat="1" applyFont="1" applyBorder="1" applyAlignment="1">
      <alignment vertical="center" wrapText="1"/>
    </xf>
    <xf numFmtId="0" fontId="60" fillId="0" borderId="18" xfId="2" applyFont="1" applyBorder="1" applyAlignment="1">
      <alignment vertical="center" wrapText="1"/>
    </xf>
    <xf numFmtId="0" fontId="62" fillId="0" borderId="18" xfId="2" applyFont="1" applyBorder="1" applyAlignment="1">
      <alignment vertical="center" wrapText="1"/>
    </xf>
    <xf numFmtId="4" fontId="60" fillId="0" borderId="8" xfId="2" applyNumberFormat="1" applyFont="1" applyAlignment="1">
      <alignment vertical="center"/>
    </xf>
    <xf numFmtId="0" fontId="60" fillId="0" borderId="8" xfId="2" applyFont="1"/>
    <xf numFmtId="4" fontId="60" fillId="0" borderId="8" xfId="2" applyNumberFormat="1" applyFont="1"/>
    <xf numFmtId="1" fontId="60" fillId="0" borderId="8" xfId="2" applyNumberFormat="1" applyFont="1"/>
    <xf numFmtId="4" fontId="62" fillId="0" borderId="18" xfId="2" applyNumberFormat="1" applyFont="1" applyBorder="1" applyAlignment="1">
      <alignment vertical="center" wrapText="1"/>
    </xf>
    <xf numFmtId="9" fontId="62" fillId="0" borderId="18" xfId="2" applyNumberFormat="1" applyFont="1" applyBorder="1" applyAlignment="1">
      <alignment vertical="center"/>
    </xf>
    <xf numFmtId="0" fontId="62" fillId="0" borderId="8" xfId="2" applyFont="1" applyAlignment="1">
      <alignment vertical="center"/>
    </xf>
    <xf numFmtId="9" fontId="62" fillId="0" borderId="18" xfId="2" applyNumberFormat="1" applyFont="1" applyBorder="1" applyAlignment="1">
      <alignment vertical="center" wrapText="1"/>
    </xf>
    <xf numFmtId="4" fontId="62" fillId="0" borderId="8" xfId="2" applyNumberFormat="1" applyFont="1" applyAlignment="1">
      <alignment wrapText="1"/>
    </xf>
    <xf numFmtId="1" fontId="62" fillId="0" borderId="8" xfId="2" applyNumberFormat="1" applyFont="1" applyAlignment="1">
      <alignment wrapText="1"/>
    </xf>
    <xf numFmtId="9" fontId="60" fillId="0" borderId="18" xfId="2" applyNumberFormat="1" applyFont="1" applyBorder="1" applyAlignment="1">
      <alignment vertical="center" wrapText="1"/>
    </xf>
    <xf numFmtId="0" fontId="60" fillId="0" borderId="8" xfId="2" applyFont="1" applyAlignment="1">
      <alignment vertical="center" wrapText="1"/>
    </xf>
    <xf numFmtId="0" fontId="60" fillId="0" borderId="8" xfId="2" applyFont="1" applyAlignment="1">
      <alignment wrapText="1"/>
    </xf>
    <xf numFmtId="4" fontId="60" fillId="0" borderId="8" xfId="2" applyNumberFormat="1" applyFont="1" applyAlignment="1">
      <alignment wrapText="1"/>
    </xf>
    <xf numFmtId="1" fontId="60" fillId="0" borderId="8" xfId="2" applyNumberFormat="1" applyFont="1" applyAlignment="1">
      <alignment wrapText="1"/>
    </xf>
    <xf numFmtId="10" fontId="60" fillId="0" borderId="18" xfId="2" applyNumberFormat="1" applyFont="1" applyBorder="1" applyAlignment="1">
      <alignment vertical="center" wrapText="1"/>
    </xf>
    <xf numFmtId="10" fontId="62" fillId="0" borderId="18" xfId="2" applyNumberFormat="1" applyFont="1" applyBorder="1" applyAlignment="1">
      <alignment vertical="center" wrapText="1"/>
    </xf>
    <xf numFmtId="0" fontId="63" fillId="0" borderId="8" xfId="2" applyFont="1" applyAlignment="1">
      <alignment vertical="center" wrapText="1"/>
    </xf>
    <xf numFmtId="0" fontId="63" fillId="0" borderId="8" xfId="2" applyFont="1" applyAlignment="1">
      <alignment wrapText="1"/>
    </xf>
    <xf numFmtId="4" fontId="63" fillId="0" borderId="8" xfId="2" applyNumberFormat="1" applyFont="1" applyAlignment="1">
      <alignment wrapText="1"/>
    </xf>
    <xf numFmtId="1" fontId="63" fillId="0" borderId="8" xfId="2" applyNumberFormat="1" applyFont="1" applyAlignment="1">
      <alignment wrapText="1"/>
    </xf>
    <xf numFmtId="4" fontId="63" fillId="0" borderId="8" xfId="2" applyNumberFormat="1" applyFont="1"/>
    <xf numFmtId="1" fontId="63" fillId="0" borderId="8" xfId="2" applyNumberFormat="1" applyFont="1"/>
    <xf numFmtId="1" fontId="59" fillId="0" borderId="8" xfId="2" applyNumberFormat="1"/>
    <xf numFmtId="0" fontId="71" fillId="39" borderId="23" xfId="0" applyFont="1" applyFill="1" applyBorder="1" applyAlignment="1">
      <alignment vertical="center" wrapText="1"/>
    </xf>
    <xf numFmtId="0" fontId="72" fillId="0" borderId="113" xfId="0" applyFont="1" applyBorder="1" applyAlignment="1">
      <alignment vertical="center" wrapText="1"/>
    </xf>
    <xf numFmtId="0" fontId="71" fillId="40" borderId="113" xfId="0" applyFont="1" applyFill="1" applyBorder="1" applyAlignment="1">
      <alignment vertical="center" wrapText="1"/>
    </xf>
    <xf numFmtId="0" fontId="73" fillId="0" borderId="113" xfId="0" applyFont="1" applyBorder="1" applyAlignment="1">
      <alignment vertical="center" wrapText="1"/>
    </xf>
    <xf numFmtId="0" fontId="71" fillId="0" borderId="113" xfId="0" applyFont="1" applyBorder="1" applyAlignment="1">
      <alignment vertical="center" wrapText="1"/>
    </xf>
    <xf numFmtId="0" fontId="1" fillId="41" borderId="113" xfId="0" applyFont="1" applyFill="1" applyBorder="1" applyAlignment="1">
      <alignment vertical="center" wrapText="1"/>
    </xf>
    <xf numFmtId="0" fontId="72" fillId="39" borderId="113" xfId="0" applyFont="1" applyFill="1" applyBorder="1" applyAlignment="1">
      <alignment vertical="center" wrapText="1"/>
    </xf>
    <xf numFmtId="0" fontId="71" fillId="42" borderId="113" xfId="0" applyFont="1" applyFill="1" applyBorder="1" applyAlignment="1">
      <alignment vertical="center" wrapText="1"/>
    </xf>
    <xf numFmtId="0" fontId="71" fillId="41" borderId="113" xfId="0" applyFont="1" applyFill="1" applyBorder="1" applyAlignment="1">
      <alignment vertical="center" wrapText="1"/>
    </xf>
    <xf numFmtId="0" fontId="72" fillId="42" borderId="113" xfId="0" applyFont="1" applyFill="1" applyBorder="1" applyAlignment="1">
      <alignment vertical="center" wrapText="1"/>
    </xf>
    <xf numFmtId="0" fontId="71" fillId="43" borderId="113" xfId="0" applyFont="1" applyFill="1" applyBorder="1" applyAlignment="1">
      <alignment vertical="center" wrapText="1"/>
    </xf>
    <xf numFmtId="0" fontId="72" fillId="43" borderId="113" xfId="0" applyFont="1" applyFill="1" applyBorder="1" applyAlignment="1">
      <alignment vertical="center" wrapText="1"/>
    </xf>
    <xf numFmtId="0" fontId="71" fillId="44" borderId="113" xfId="0" applyFont="1" applyFill="1" applyBorder="1" applyAlignment="1">
      <alignment vertical="center" wrapText="1"/>
    </xf>
    <xf numFmtId="0" fontId="72" fillId="44" borderId="113" xfId="0" applyFont="1" applyFill="1" applyBorder="1" applyAlignment="1">
      <alignment vertical="center" wrapText="1"/>
    </xf>
    <xf numFmtId="0" fontId="71" fillId="45" borderId="113" xfId="0" applyFont="1" applyFill="1" applyBorder="1" applyAlignment="1">
      <alignment vertical="center" wrapText="1"/>
    </xf>
    <xf numFmtId="0" fontId="72" fillId="45" borderId="113" xfId="0" applyFont="1" applyFill="1" applyBorder="1" applyAlignment="1">
      <alignment vertical="center" wrapText="1"/>
    </xf>
    <xf numFmtId="0" fontId="71" fillId="46" borderId="113" xfId="0" applyFont="1" applyFill="1" applyBorder="1" applyAlignment="1">
      <alignment vertical="center" wrapText="1"/>
    </xf>
    <xf numFmtId="0" fontId="73" fillId="41" borderId="113" xfId="0" applyFont="1" applyFill="1" applyBorder="1" applyAlignment="1">
      <alignment vertical="center" wrapText="1"/>
    </xf>
    <xf numFmtId="0" fontId="5" fillId="5" borderId="43" xfId="0" applyFont="1" applyFill="1" applyBorder="1" applyAlignment="1">
      <alignment horizontal="center" vertical="center" wrapText="1"/>
    </xf>
    <xf numFmtId="0" fontId="6" fillId="0" borderId="44" xfId="0" applyFont="1" applyBorder="1"/>
    <xf numFmtId="0" fontId="6" fillId="0" borderId="45" xfId="0" applyFont="1" applyBorder="1"/>
    <xf numFmtId="0" fontId="8" fillId="3" borderId="43" xfId="0" applyFont="1" applyFill="1" applyBorder="1" applyAlignment="1">
      <alignment horizontal="center" vertical="center" wrapText="1"/>
    </xf>
    <xf numFmtId="164" fontId="4" fillId="0" borderId="24" xfId="0" applyNumberFormat="1" applyFont="1" applyBorder="1" applyAlignment="1">
      <alignment horizontal="center" vertical="center"/>
    </xf>
    <xf numFmtId="0" fontId="6" fillId="0" borderId="25" xfId="0" applyFont="1" applyBorder="1"/>
    <xf numFmtId="0" fontId="6" fillId="0" borderId="26" xfId="0" applyFont="1" applyBorder="1"/>
    <xf numFmtId="0" fontId="4" fillId="0" borderId="13" xfId="0" applyFont="1" applyBorder="1" applyAlignment="1">
      <alignment horizontal="center" vertical="center"/>
    </xf>
    <xf numFmtId="0" fontId="6" fillId="0" borderId="13" xfId="0" applyFont="1" applyBorder="1"/>
    <xf numFmtId="3" fontId="7" fillId="0" borderId="13" xfId="0" applyNumberFormat="1" applyFont="1" applyBorder="1" applyAlignment="1">
      <alignment horizontal="center" vertical="center"/>
    </xf>
    <xf numFmtId="0" fontId="6" fillId="0" borderId="27" xfId="0" applyFont="1" applyBorder="1"/>
    <xf numFmtId="164" fontId="7" fillId="0" borderId="28" xfId="0" applyNumberFormat="1" applyFont="1" applyBorder="1" applyAlignment="1">
      <alignment horizontal="center" vertical="center"/>
    </xf>
    <xf numFmtId="0" fontId="6" fillId="0" borderId="29" xfId="0" applyFont="1" applyBorder="1"/>
    <xf numFmtId="0" fontId="6" fillId="0" borderId="30" xfId="0" applyFont="1" applyBorder="1"/>
    <xf numFmtId="0" fontId="6" fillId="0" borderId="31" xfId="0" applyFont="1" applyBorder="1"/>
    <xf numFmtId="0" fontId="0" fillId="0" borderId="0" xfId="0" applyFont="1" applyAlignment="1"/>
    <xf numFmtId="0" fontId="6" fillId="0" borderId="32" xfId="0" applyFont="1" applyBorder="1"/>
    <xf numFmtId="0" fontId="6" fillId="0" borderId="33" xfId="0" applyFont="1" applyBorder="1"/>
    <xf numFmtId="0" fontId="6" fillId="0" borderId="34" xfId="0" applyFont="1" applyBorder="1"/>
    <xf numFmtId="0" fontId="6" fillId="0" borderId="35" xfId="0" applyFont="1" applyBorder="1"/>
    <xf numFmtId="164" fontId="7" fillId="0" borderId="47" xfId="0" applyNumberFormat="1" applyFont="1" applyBorder="1" applyAlignment="1">
      <alignment horizontal="left" vertical="center"/>
    </xf>
    <xf numFmtId="0" fontId="6" fillId="0" borderId="48" xfId="0" applyFont="1" applyBorder="1"/>
    <xf numFmtId="0" fontId="6" fillId="0" borderId="49" xfId="0" applyFont="1" applyBorder="1"/>
    <xf numFmtId="164" fontId="4" fillId="0" borderId="28" xfId="0" applyNumberFormat="1" applyFont="1" applyBorder="1" applyAlignment="1">
      <alignment horizontal="center" vertical="center"/>
    </xf>
    <xf numFmtId="164" fontId="7" fillId="0" borderId="31" xfId="0" applyNumberFormat="1" applyFont="1" applyBorder="1" applyAlignment="1">
      <alignment horizontal="left" vertical="center"/>
    </xf>
    <xf numFmtId="164" fontId="7" fillId="0" borderId="31" xfId="0" applyNumberFormat="1" applyFont="1" applyBorder="1" applyAlignment="1">
      <alignment horizontal="center" vertical="center"/>
    </xf>
    <xf numFmtId="0" fontId="6" fillId="0" borderId="36" xfId="0" applyFont="1" applyBorder="1"/>
    <xf numFmtId="0" fontId="6" fillId="0" borderId="37" xfId="0" applyFont="1" applyBorder="1"/>
    <xf numFmtId="0" fontId="6" fillId="0" borderId="38" xfId="0" applyFont="1" applyBorder="1"/>
    <xf numFmtId="164" fontId="7" fillId="0" borderId="33" xfId="0" applyNumberFormat="1" applyFont="1" applyBorder="1" applyAlignment="1">
      <alignment horizontal="left" vertical="center"/>
    </xf>
    <xf numFmtId="0" fontId="8" fillId="3" borderId="12" xfId="0" applyFont="1" applyFill="1" applyBorder="1" applyAlignment="1">
      <alignment horizontal="center" vertical="center" wrapText="1"/>
    </xf>
    <xf numFmtId="0" fontId="6" fillId="0" borderId="14" xfId="0" applyFont="1" applyBorder="1"/>
    <xf numFmtId="0" fontId="4" fillId="0" borderId="34" xfId="0" applyFont="1" applyBorder="1" applyAlignment="1">
      <alignment horizontal="center" vertical="center"/>
    </xf>
    <xf numFmtId="3" fontId="7" fillId="0" borderId="34" xfId="0" applyNumberFormat="1" applyFont="1" applyBorder="1" applyAlignment="1">
      <alignment horizontal="center" vertical="center"/>
    </xf>
    <xf numFmtId="0" fontId="7" fillId="0" borderId="12" xfId="0" applyFont="1" applyBorder="1" applyAlignment="1">
      <alignment horizontal="center" wrapText="1"/>
    </xf>
    <xf numFmtId="0" fontId="7" fillId="0" borderId="15" xfId="0" applyFont="1" applyBorder="1" applyAlignment="1">
      <alignment horizontal="center" wrapText="1"/>
    </xf>
    <xf numFmtId="0" fontId="6" fillId="0" borderId="19" xfId="0" applyFont="1" applyBorder="1"/>
    <xf numFmtId="0" fontId="5" fillId="2" borderId="7" xfId="0" applyFont="1" applyFill="1" applyBorder="1" applyAlignment="1">
      <alignment horizontal="center"/>
    </xf>
    <xf numFmtId="0" fontId="6" fillId="0" borderId="8" xfId="0" applyFont="1" applyBorder="1"/>
    <xf numFmtId="0" fontId="6" fillId="0" borderId="9" xfId="0" applyFont="1" applyBorder="1"/>
    <xf numFmtId="0" fontId="7" fillId="0" borderId="10" xfId="0" applyFont="1" applyBorder="1" applyAlignment="1">
      <alignment horizontal="center" wrapText="1"/>
    </xf>
    <xf numFmtId="0" fontId="6" fillId="0" borderId="16" xfId="0" applyFont="1" applyBorder="1"/>
    <xf numFmtId="0" fontId="7" fillId="0" borderId="11" xfId="0" applyFont="1" applyBorder="1" applyAlignment="1">
      <alignment horizontal="center" wrapText="1"/>
    </xf>
    <xf numFmtId="0" fontId="6" fillId="0" borderId="17" xfId="0" applyFont="1" applyBorder="1"/>
    <xf numFmtId="0" fontId="7" fillId="0" borderId="11" xfId="0" applyFont="1" applyBorder="1" applyAlignment="1">
      <alignment horizontal="center" vertical="center" wrapText="1"/>
    </xf>
    <xf numFmtId="0" fontId="13" fillId="2" borderId="7" xfId="0" applyFont="1" applyFill="1" applyBorder="1" applyAlignment="1">
      <alignment horizontal="center"/>
    </xf>
    <xf numFmtId="0" fontId="8" fillId="0" borderId="12" xfId="0" applyFont="1" applyBorder="1" applyAlignment="1">
      <alignment horizontal="center" vertical="center" wrapText="1"/>
    </xf>
    <xf numFmtId="0" fontId="14" fillId="2" borderId="7" xfId="0" applyFont="1" applyFill="1" applyBorder="1" applyAlignment="1">
      <alignment horizontal="center"/>
    </xf>
    <xf numFmtId="0" fontId="7" fillId="0" borderId="12"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11" xfId="0" applyFont="1" applyBorder="1" applyAlignment="1">
      <alignment horizontal="center" vertical="center"/>
    </xf>
    <xf numFmtId="0" fontId="8" fillId="0" borderId="0" xfId="0" applyFont="1" applyAlignment="1">
      <alignment horizontal="left"/>
    </xf>
    <xf numFmtId="0" fontId="17" fillId="0" borderId="12" xfId="0" applyFont="1" applyBorder="1"/>
    <xf numFmtId="0" fontId="15" fillId="0" borderId="0" xfId="0" applyFont="1"/>
    <xf numFmtId="0" fontId="2" fillId="0" borderId="0" xfId="0" applyFont="1"/>
    <xf numFmtId="0" fontId="15" fillId="0" borderId="11" xfId="0" applyFont="1" applyBorder="1" applyAlignment="1">
      <alignment vertical="top" wrapText="1"/>
    </xf>
    <xf numFmtId="0" fontId="17" fillId="0" borderId="11" xfId="0" applyFont="1" applyBorder="1" applyAlignment="1">
      <alignment vertical="top" wrapText="1"/>
    </xf>
    <xf numFmtId="0" fontId="17" fillId="6" borderId="12" xfId="0" applyFont="1" applyFill="1" applyBorder="1" applyAlignment="1">
      <alignment horizontal="center" wrapText="1"/>
    </xf>
    <xf numFmtId="0" fontId="17" fillId="8" borderId="12" xfId="0" applyFont="1" applyFill="1" applyBorder="1" applyAlignment="1">
      <alignment horizontal="left"/>
    </xf>
    <xf numFmtId="0" fontId="6" fillId="0" borderId="53" xfId="0" applyFont="1" applyBorder="1"/>
    <xf numFmtId="0" fontId="17" fillId="0" borderId="0" xfId="0" applyFont="1" applyAlignment="1">
      <alignment horizontal="right" wrapText="1"/>
    </xf>
    <xf numFmtId="0" fontId="17" fillId="12" borderId="12" xfId="0" applyFont="1" applyFill="1" applyBorder="1" applyAlignment="1">
      <alignment horizontal="center" vertical="top"/>
    </xf>
    <xf numFmtId="0" fontId="15" fillId="13" borderId="12" xfId="0" applyFont="1" applyFill="1" applyBorder="1" applyAlignment="1">
      <alignment horizontal="left" vertical="top" wrapText="1"/>
    </xf>
    <xf numFmtId="0" fontId="17" fillId="8" borderId="12" xfId="0" applyFont="1" applyFill="1" applyBorder="1" applyAlignment="1">
      <alignment vertical="top"/>
    </xf>
    <xf numFmtId="0" fontId="17" fillId="14" borderId="12" xfId="0" applyFont="1" applyFill="1" applyBorder="1" applyAlignment="1">
      <alignment horizontal="center" vertical="center" wrapText="1"/>
    </xf>
    <xf numFmtId="0" fontId="17" fillId="0" borderId="46" xfId="0" applyFont="1" applyBorder="1" applyAlignment="1">
      <alignment horizontal="left" vertical="top" wrapText="1"/>
    </xf>
    <xf numFmtId="0" fontId="6" fillId="0" borderId="42" xfId="0" applyFont="1" applyBorder="1"/>
    <xf numFmtId="4" fontId="17" fillId="0" borderId="11" xfId="0" applyNumberFormat="1" applyFont="1" applyBorder="1" applyAlignment="1">
      <alignment horizontal="center" vertical="center" wrapText="1"/>
    </xf>
    <xf numFmtId="0" fontId="17" fillId="0" borderId="12" xfId="0" applyFont="1" applyBorder="1" applyAlignment="1">
      <alignment vertical="top" wrapText="1"/>
    </xf>
    <xf numFmtId="0" fontId="18" fillId="0" borderId="12" xfId="0" applyFont="1" applyBorder="1" applyAlignment="1">
      <alignment wrapText="1"/>
    </xf>
    <xf numFmtId="0" fontId="18" fillId="0" borderId="12" xfId="0" applyFont="1" applyBorder="1" applyAlignment="1">
      <alignment horizontal="center" wrapText="1"/>
    </xf>
    <xf numFmtId="0" fontId="62" fillId="0" borderId="8" xfId="2" applyFont="1" applyAlignment="1">
      <alignment wrapText="1"/>
    </xf>
    <xf numFmtId="0" fontId="60" fillId="15" borderId="109" xfId="2" applyFont="1" applyFill="1" applyBorder="1" applyAlignment="1">
      <alignment horizontal="center" vertical="center"/>
    </xf>
    <xf numFmtId="0" fontId="62" fillId="0" borderId="109" xfId="2" applyFont="1" applyBorder="1"/>
    <xf numFmtId="0" fontId="60" fillId="4" borderId="109" xfId="2" applyFont="1" applyFill="1" applyBorder="1" applyAlignment="1">
      <alignment horizontal="center" vertical="center"/>
    </xf>
    <xf numFmtId="0" fontId="60" fillId="0" borderId="110" xfId="2" applyFont="1" applyBorder="1" applyAlignment="1">
      <alignment horizontal="center" vertical="center"/>
    </xf>
    <xf numFmtId="0" fontId="60" fillId="0" borderId="111" xfId="2" applyFont="1" applyBorder="1" applyAlignment="1">
      <alignment horizontal="center" vertical="center"/>
    </xf>
    <xf numFmtId="0" fontId="60" fillId="0" borderId="112" xfId="2" applyFont="1" applyBorder="1" applyAlignment="1">
      <alignment horizontal="center" vertical="center"/>
    </xf>
    <xf numFmtId="0" fontId="62" fillId="0" borderId="8" xfId="2" applyFont="1" applyAlignment="1">
      <alignment horizontal="left" wrapText="1"/>
    </xf>
    <xf numFmtId="0" fontId="17" fillId="0" borderId="12" xfId="0" applyFont="1" applyBorder="1" applyAlignment="1">
      <alignment horizontal="left" vertical="top" wrapText="1"/>
    </xf>
    <xf numFmtId="0" fontId="19" fillId="0" borderId="12" xfId="0" applyFont="1" applyBorder="1" applyAlignment="1">
      <alignment horizontal="left" vertical="top"/>
    </xf>
    <xf numFmtId="0" fontId="17" fillId="0" borderId="12" xfId="0" applyFont="1" applyBorder="1" applyAlignment="1">
      <alignment horizontal="left" vertical="top"/>
    </xf>
    <xf numFmtId="0" fontId="15" fillId="0" borderId="0" xfId="0" applyFont="1" applyAlignment="1">
      <alignment wrapText="1"/>
    </xf>
    <xf numFmtId="0" fontId="26" fillId="15" borderId="12" xfId="0" applyFont="1" applyFill="1" applyBorder="1" applyAlignment="1">
      <alignment horizontal="center" vertical="center"/>
    </xf>
    <xf numFmtId="0" fontId="17" fillId="4" borderId="12" xfId="0" applyFont="1" applyFill="1" applyBorder="1" applyAlignment="1">
      <alignment horizontal="center" vertical="center"/>
    </xf>
    <xf numFmtId="0" fontId="17" fillId="0" borderId="12" xfId="0" applyFont="1" applyBorder="1" applyAlignment="1">
      <alignment horizontal="center" vertical="top" wrapText="1"/>
    </xf>
    <xf numFmtId="0" fontId="15" fillId="0" borderId="0" xfId="0" applyFont="1" applyAlignment="1">
      <alignment horizontal="left" wrapText="1"/>
    </xf>
    <xf numFmtId="0" fontId="14" fillId="2" borderId="7" xfId="0" applyFont="1" applyFill="1" applyBorder="1" applyAlignment="1">
      <alignment horizontal="left"/>
    </xf>
    <xf numFmtId="0" fontId="34" fillId="17" borderId="58" xfId="0" applyFont="1" applyFill="1" applyBorder="1" applyAlignment="1">
      <alignment horizontal="center"/>
    </xf>
    <xf numFmtId="0" fontId="6" fillId="0" borderId="59" xfId="0" applyFont="1" applyBorder="1"/>
    <xf numFmtId="0" fontId="6" fillId="0" borderId="60" xfId="0" applyFont="1" applyBorder="1"/>
    <xf numFmtId="0" fontId="7" fillId="0" borderId="0" xfId="0" applyFont="1" applyAlignment="1">
      <alignment horizontal="center"/>
    </xf>
    <xf numFmtId="0" fontId="4" fillId="0" borderId="0" xfId="0" applyFont="1" applyAlignment="1">
      <alignment horizontal="center"/>
    </xf>
    <xf numFmtId="0" fontId="7" fillId="0" borderId="0" xfId="0" applyFont="1" applyAlignment="1">
      <alignment horizontal="left"/>
    </xf>
    <xf numFmtId="0" fontId="4" fillId="0" borderId="0" xfId="0" applyFont="1" applyAlignment="1">
      <alignment horizontal="left"/>
    </xf>
    <xf numFmtId="0" fontId="26" fillId="0" borderId="11" xfId="0" applyFont="1" applyBorder="1" applyAlignment="1">
      <alignment horizontal="center"/>
    </xf>
    <xf numFmtId="0" fontId="26" fillId="0" borderId="12" xfId="0" applyFont="1" applyBorder="1" applyAlignment="1">
      <alignment horizontal="center" wrapText="1"/>
    </xf>
    <xf numFmtId="0" fontId="26" fillId="0" borderId="12" xfId="0" applyFont="1" applyBorder="1" applyAlignment="1">
      <alignment horizontal="center"/>
    </xf>
    <xf numFmtId="0" fontId="7" fillId="9" borderId="61" xfId="0" applyFont="1" applyFill="1" applyBorder="1" applyAlignment="1">
      <alignment horizontal="center" wrapText="1"/>
    </xf>
    <xf numFmtId="0" fontId="6" fillId="0" borderId="62" xfId="0" applyFont="1" applyBorder="1"/>
    <xf numFmtId="0" fontId="7" fillId="9" borderId="61" xfId="0" applyFont="1" applyFill="1" applyBorder="1" applyAlignment="1">
      <alignment horizontal="center" vertical="top"/>
    </xf>
    <xf numFmtId="3" fontId="7" fillId="9" borderId="61" xfId="0" applyNumberFormat="1" applyFont="1" applyFill="1" applyBorder="1" applyAlignment="1">
      <alignment horizontal="center" vertical="top" wrapText="1"/>
    </xf>
    <xf numFmtId="3" fontId="7" fillId="9" borderId="55" xfId="0" applyNumberFormat="1" applyFont="1" applyFill="1" applyBorder="1" applyAlignment="1">
      <alignment horizontal="center" vertical="top" wrapText="1"/>
    </xf>
    <xf numFmtId="0" fontId="6" fillId="0" borderId="56" xfId="0" applyFont="1" applyBorder="1"/>
    <xf numFmtId="0" fontId="6" fillId="0" borderId="57" xfId="0" applyFont="1" applyBorder="1"/>
    <xf numFmtId="3" fontId="7" fillId="9" borderId="55" xfId="0" quotePrefix="1" applyNumberFormat="1" applyFont="1" applyFill="1" applyBorder="1" applyAlignment="1">
      <alignment horizontal="center" vertical="top" wrapText="1"/>
    </xf>
    <xf numFmtId="3" fontId="4" fillId="21" borderId="71" xfId="0" applyNumberFormat="1" applyFont="1" applyFill="1" applyBorder="1" applyAlignment="1">
      <alignment horizontal="center"/>
    </xf>
    <xf numFmtId="0" fontId="6" fillId="0" borderId="72" xfId="0" applyFont="1" applyBorder="1"/>
    <xf numFmtId="3" fontId="4" fillId="21" borderId="73" xfId="0" applyNumberFormat="1" applyFont="1" applyFill="1" applyBorder="1" applyAlignment="1">
      <alignment horizontal="center"/>
    </xf>
    <xf numFmtId="0" fontId="6" fillId="0" borderId="74" xfId="0" applyFont="1" applyBorder="1"/>
    <xf numFmtId="0" fontId="36" fillId="0" borderId="61" xfId="0" applyFont="1" applyBorder="1" applyAlignment="1">
      <alignment horizontal="center" vertical="center" wrapText="1"/>
    </xf>
    <xf numFmtId="0" fontId="6" fillId="0" borderId="63" xfId="0" applyFont="1" applyBorder="1"/>
    <xf numFmtId="0" fontId="38" fillId="0" borderId="12" xfId="0" applyFont="1" applyBorder="1" applyAlignment="1">
      <alignment horizontal="left"/>
    </xf>
    <xf numFmtId="0" fontId="40" fillId="13" borderId="12" xfId="0" applyFont="1" applyFill="1" applyBorder="1" applyAlignment="1">
      <alignment horizontal="left"/>
    </xf>
    <xf numFmtId="0" fontId="40" fillId="0" borderId="12" xfId="0" applyFont="1" applyBorder="1" applyAlignment="1">
      <alignment horizontal="left"/>
    </xf>
    <xf numFmtId="0" fontId="40" fillId="22" borderId="12" xfId="0" applyFont="1" applyFill="1" applyBorder="1" applyAlignment="1">
      <alignment horizontal="left"/>
    </xf>
    <xf numFmtId="0" fontId="38" fillId="0" borderId="12" xfId="0" applyFont="1" applyBorder="1" applyAlignment="1">
      <alignment horizontal="center"/>
    </xf>
    <xf numFmtId="0" fontId="39" fillId="0" borderId="0" xfId="0" applyFont="1" applyAlignment="1">
      <alignment horizontal="left"/>
    </xf>
    <xf numFmtId="0" fontId="40" fillId="0" borderId="0" xfId="0" applyFont="1" applyAlignment="1">
      <alignment horizontal="left"/>
    </xf>
    <xf numFmtId="0" fontId="40" fillId="22" borderId="12" xfId="0" applyFont="1" applyFill="1" applyBorder="1" applyAlignment="1">
      <alignment horizontal="center"/>
    </xf>
    <xf numFmtId="0" fontId="38" fillId="22" borderId="12" xfId="0" applyFont="1" applyFill="1" applyBorder="1" applyAlignment="1">
      <alignment horizontal="center"/>
    </xf>
    <xf numFmtId="0" fontId="48" fillId="0" borderId="0" xfId="0" applyFont="1" applyAlignment="1">
      <alignment horizontal="left" vertical="top" wrapText="1"/>
    </xf>
    <xf numFmtId="4" fontId="17" fillId="0" borderId="78" xfId="0" applyNumberFormat="1" applyFont="1" applyBorder="1" applyAlignment="1">
      <alignment horizontal="left"/>
    </xf>
    <xf numFmtId="0" fontId="6" fillId="0" borderId="79" xfId="0" applyFont="1" applyBorder="1"/>
    <xf numFmtId="4" fontId="17" fillId="0" borderId="12" xfId="0" applyNumberFormat="1" applyFont="1" applyBorder="1" applyAlignment="1">
      <alignment horizontal="left" wrapText="1"/>
    </xf>
    <xf numFmtId="4" fontId="26" fillId="15" borderId="80" xfId="0" applyNumberFormat="1" applyFont="1" applyFill="1" applyBorder="1" applyAlignment="1">
      <alignment horizontal="center" vertical="center"/>
    </xf>
    <xf numFmtId="0" fontId="6" fillId="0" borderId="81" xfId="0" applyFont="1" applyBorder="1"/>
    <xf numFmtId="0" fontId="6" fillId="0" borderId="82" xfId="0" applyFont="1" applyBorder="1"/>
    <xf numFmtId="4" fontId="26" fillId="15" borderId="84" xfId="0" applyNumberFormat="1" applyFont="1" applyFill="1" applyBorder="1" applyAlignment="1">
      <alignment horizontal="center" vertical="center"/>
    </xf>
  </cellXfs>
  <cellStyles count="3">
    <cellStyle name="Comma" xfId="1" builtinId="3"/>
    <cellStyle name="Normal" xfId="0" builtinId="0"/>
    <cellStyle name="Normal 2" xfId="2" xr:uid="{1671E711-189C-4BA9-8877-E6EA97A424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238125</xdr:colOff>
      <xdr:row>0</xdr:row>
      <xdr:rowOff>66675</xdr:rowOff>
    </xdr:from>
    <xdr:ext cx="962025" cy="66675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762000</xdr:colOff>
      <xdr:row>0</xdr:row>
      <xdr:rowOff>76200</xdr:rowOff>
    </xdr:from>
    <xdr:ext cx="1438275" cy="647700"/>
    <xdr:pic>
      <xdr:nvPicPr>
        <xdr:cNvPr id="3" name="image1.png" descr="https://workspace.storage.infomaniak.com/signature/bf527326fa4cf1076c79138f996a2f20de83adab">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2</xdr:row>
      <xdr:rowOff>123825</xdr:rowOff>
    </xdr:from>
    <xdr:ext cx="819150" cy="428625"/>
    <xdr:pic>
      <xdr:nvPicPr>
        <xdr:cNvPr id="2" name="image6.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476250</xdr:colOff>
      <xdr:row>3</xdr:row>
      <xdr:rowOff>0</xdr:rowOff>
    </xdr:from>
    <xdr:ext cx="1352550" cy="371475"/>
    <xdr:pic>
      <xdr:nvPicPr>
        <xdr:cNvPr id="3" name="image7.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xdr:colOff>
      <xdr:row>0</xdr:row>
      <xdr:rowOff>133350</xdr:rowOff>
    </xdr:from>
    <xdr:ext cx="762000" cy="438150"/>
    <xdr:pic>
      <xdr:nvPicPr>
        <xdr:cNvPr id="2" name="image1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1000125</xdr:colOff>
      <xdr:row>1</xdr:row>
      <xdr:rowOff>28575</xdr:rowOff>
    </xdr:from>
    <xdr:ext cx="1333500" cy="381000"/>
    <xdr:pic>
      <xdr:nvPicPr>
        <xdr:cNvPr id="3" name="image7.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238125</xdr:colOff>
      <xdr:row>0</xdr:row>
      <xdr:rowOff>66675</xdr:rowOff>
    </xdr:from>
    <xdr:ext cx="866775" cy="666750"/>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762000</xdr:colOff>
      <xdr:row>0</xdr:row>
      <xdr:rowOff>123825</xdr:rowOff>
    </xdr:from>
    <xdr:ext cx="1562100" cy="685800"/>
    <xdr:pic>
      <xdr:nvPicPr>
        <xdr:cNvPr id="3" name="image1.png" descr="https://workspace.storage.infomaniak.com/signature/bf527326fa4cf1076c79138f996a2f20de83adab">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238125</xdr:colOff>
      <xdr:row>0</xdr:row>
      <xdr:rowOff>66675</xdr:rowOff>
    </xdr:from>
    <xdr:ext cx="971550" cy="54292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704850</xdr:colOff>
      <xdr:row>0</xdr:row>
      <xdr:rowOff>76200</xdr:rowOff>
    </xdr:from>
    <xdr:ext cx="1466850" cy="600075"/>
    <xdr:pic>
      <xdr:nvPicPr>
        <xdr:cNvPr id="3" name="image1.png" descr="https://workspace.storage.infomaniak.com/signature/bf527326fa4cf1076c79138f996a2f20de83adab">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238125</xdr:colOff>
      <xdr:row>0</xdr:row>
      <xdr:rowOff>66675</xdr:rowOff>
    </xdr:from>
    <xdr:ext cx="866775" cy="666750"/>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762000</xdr:colOff>
      <xdr:row>0</xdr:row>
      <xdr:rowOff>123825</xdr:rowOff>
    </xdr:from>
    <xdr:ext cx="1562100" cy="752475"/>
    <xdr:pic>
      <xdr:nvPicPr>
        <xdr:cNvPr id="3" name="image1.png" descr="https://workspace.storage.infomaniak.com/signature/bf527326fa4cf1076c79138f996a2f20de83adab">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238125</xdr:colOff>
      <xdr:row>1</xdr:row>
      <xdr:rowOff>66675</xdr:rowOff>
    </xdr:from>
    <xdr:ext cx="781050" cy="542925"/>
    <xdr:pic>
      <xdr:nvPicPr>
        <xdr:cNvPr id="2" name="image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876300</xdr:colOff>
      <xdr:row>1</xdr:row>
      <xdr:rowOff>114300</xdr:rowOff>
    </xdr:from>
    <xdr:ext cx="1143000" cy="685800"/>
    <xdr:pic>
      <xdr:nvPicPr>
        <xdr:cNvPr id="3" name="image1.png" descr="https://workspace.storage.infomaniak.com/signature/bf527326fa4cf1076c79138f996a2f20de83adab">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238125</xdr:colOff>
      <xdr:row>1</xdr:row>
      <xdr:rowOff>66675</xdr:rowOff>
    </xdr:from>
    <xdr:ext cx="781050" cy="542925"/>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876300</xdr:colOff>
      <xdr:row>1</xdr:row>
      <xdr:rowOff>114300</xdr:rowOff>
    </xdr:from>
    <xdr:ext cx="1143000" cy="685800"/>
    <xdr:pic>
      <xdr:nvPicPr>
        <xdr:cNvPr id="3" name="image1.png" descr="https://workspace.storage.infomaniak.com/signature/bf527326fa4cf1076c79138f996a2f20de83adab">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238125</xdr:colOff>
      <xdr:row>1</xdr:row>
      <xdr:rowOff>66675</xdr:rowOff>
    </xdr:from>
    <xdr:ext cx="781050" cy="542925"/>
    <xdr:pic>
      <xdr:nvPicPr>
        <xdr:cNvPr id="2" name="image5.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876300</xdr:colOff>
      <xdr:row>1</xdr:row>
      <xdr:rowOff>114300</xdr:rowOff>
    </xdr:from>
    <xdr:ext cx="1143000" cy="685800"/>
    <xdr:pic>
      <xdr:nvPicPr>
        <xdr:cNvPr id="3" name="image1.png" descr="https://workspace.storage.infomaniak.com/signature/bf527326fa4cf1076c79138f996a2f20de83adab">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133350</xdr:colOff>
      <xdr:row>2</xdr:row>
      <xdr:rowOff>123825</xdr:rowOff>
    </xdr:from>
    <xdr:ext cx="771525" cy="428625"/>
    <xdr:pic>
      <xdr:nvPicPr>
        <xdr:cNvPr id="2" name="image10.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476250</xdr:colOff>
      <xdr:row>3</xdr:row>
      <xdr:rowOff>0</xdr:rowOff>
    </xdr:from>
    <xdr:ext cx="1352550" cy="371475"/>
    <xdr:pic>
      <xdr:nvPicPr>
        <xdr:cNvPr id="3" name="image7.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133350</xdr:colOff>
      <xdr:row>1</xdr:row>
      <xdr:rowOff>123825</xdr:rowOff>
    </xdr:from>
    <xdr:ext cx="876300" cy="438150"/>
    <xdr:pic>
      <xdr:nvPicPr>
        <xdr:cNvPr id="2" name="image9.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171450</xdr:colOff>
      <xdr:row>2</xdr:row>
      <xdr:rowOff>19050</xdr:rowOff>
    </xdr:from>
    <xdr:ext cx="923925" cy="381000"/>
    <xdr:pic>
      <xdr:nvPicPr>
        <xdr:cNvPr id="3" name="image8.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amgaacmad\ACMAD2019\GFCSintaACP2019\koimanexchangenov04\infodoc3%20FICHESPAIE-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MAD\Admin\Conseil%20d%20Administration\CA26_2022\Traduction%20docs\doc2.3_Year2WorkPlanandBudget\doc2.3Work%20plan%20Year2+Budget%20Year2may2022_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amgaacmad\ACMAD2019\GFCSintaACP2019\Copy%20of%20GFCS%20Annual%20Procurement%20Plan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ers"/>
      <sheetName val="Leadforecaster"/>
      <sheetName val="climatechangescienctist"/>
      <sheetName val="Feuil1"/>
      <sheetName val="indemnites"/>
      <sheetName val="DG"/>
      <sheetName val="P3Chief"/>
      <sheetName val="financeadmin"/>
      <sheetName val="Sheet3"/>
    </sheetNames>
    <sheetDataSet>
      <sheetData sheetId="0" refreshError="1">
        <row r="23">
          <cell r="C23">
            <v>2967243.3333333335</v>
          </cell>
        </row>
      </sheetData>
      <sheetData sheetId="1" refreshError="1">
        <row r="23">
          <cell r="C23">
            <v>3711393.3333333335</v>
          </cell>
        </row>
      </sheetData>
      <sheetData sheetId="2" refreshError="1">
        <row r="23">
          <cell r="C23">
            <v>3102543.3333333335</v>
          </cell>
        </row>
      </sheetData>
      <sheetData sheetId="3" refreshError="1"/>
      <sheetData sheetId="4" refreshError="1"/>
      <sheetData sheetId="5" refreshError="1">
        <row r="21">
          <cell r="E21">
            <v>0.57001287309281923</v>
          </cell>
        </row>
        <row r="23">
          <cell r="C23">
            <v>5627241.333333333</v>
          </cell>
        </row>
      </sheetData>
      <sheetData sheetId="6" refreshError="1">
        <row r="23">
          <cell r="C23">
            <v>4019409.9333333336</v>
          </cell>
        </row>
      </sheetData>
      <sheetData sheetId="7" refreshError="1">
        <row r="23">
          <cell r="C23">
            <v>3654567.3333333335</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XOF"/>
      <sheetName val="Exp XOF"/>
      <sheetName val="Visa XOF"/>
      <sheetName val="Exp Visa"/>
      <sheetName val="Details"/>
      <sheetName val="Workplan year2"/>
      <sheetName val="Budget Year 2"/>
      <sheetName val="BG"/>
      <sheetName val="Fin Re"/>
      <sheetName val="Fin Re (2)"/>
      <sheetName val="Fin Re (3)"/>
      <sheetName val="Bank CFA2014"/>
      <sheetName val="Rec ban 2014"/>
      <sheetName val="Bank € 14 "/>
      <sheetName val="Summary"/>
      <sheetName val="Cash"/>
      <sheetName val="Jan-Mar 16"/>
      <sheetName val="April-June 16"/>
      <sheetName val="Feuil1"/>
      <sheetName val="Jul-Sept 16"/>
    </sheetNames>
    <sheetDataSet>
      <sheetData sheetId="0">
        <row r="13">
          <cell r="G13">
            <v>7080</v>
          </cell>
        </row>
        <row r="14">
          <cell r="G14">
            <v>7080</v>
          </cell>
        </row>
        <row r="16">
          <cell r="G16">
            <v>7080</v>
          </cell>
        </row>
        <row r="17">
          <cell r="G17">
            <v>7207</v>
          </cell>
        </row>
        <row r="18">
          <cell r="G18">
            <v>600000</v>
          </cell>
        </row>
        <row r="19">
          <cell r="G19">
            <v>600000</v>
          </cell>
        </row>
        <row r="20">
          <cell r="G20">
            <v>600000</v>
          </cell>
        </row>
        <row r="21">
          <cell r="G21">
            <v>600000</v>
          </cell>
        </row>
        <row r="23">
          <cell r="G23">
            <v>7080</v>
          </cell>
        </row>
        <row r="24">
          <cell r="G24">
            <v>1214765</v>
          </cell>
        </row>
        <row r="25">
          <cell r="G25">
            <v>1229765</v>
          </cell>
        </row>
        <row r="26">
          <cell r="G26">
            <v>1224765</v>
          </cell>
        </row>
        <row r="27">
          <cell r="G27">
            <v>1214765</v>
          </cell>
        </row>
        <row r="28">
          <cell r="G28">
            <v>2737241</v>
          </cell>
        </row>
        <row r="29">
          <cell r="G29">
            <v>2737241</v>
          </cell>
        </row>
        <row r="30">
          <cell r="G30">
            <v>2737241</v>
          </cell>
        </row>
        <row r="31">
          <cell r="G31">
            <v>1737871</v>
          </cell>
        </row>
        <row r="32">
          <cell r="G32">
            <v>2737241</v>
          </cell>
        </row>
        <row r="33">
          <cell r="G33">
            <v>2737241</v>
          </cell>
        </row>
        <row r="34">
          <cell r="G34">
            <v>2737241</v>
          </cell>
        </row>
        <row r="35">
          <cell r="G35">
            <v>1737871</v>
          </cell>
        </row>
        <row r="36">
          <cell r="G36">
            <v>1392467</v>
          </cell>
        </row>
        <row r="37">
          <cell r="G37">
            <v>7080</v>
          </cell>
        </row>
        <row r="38">
          <cell r="G38">
            <v>-1814765</v>
          </cell>
        </row>
        <row r="39">
          <cell r="G39">
            <v>-1824765</v>
          </cell>
        </row>
        <row r="40">
          <cell r="G40">
            <v>-1824765</v>
          </cell>
        </row>
        <row r="41">
          <cell r="G41">
            <v>-1814765</v>
          </cell>
        </row>
        <row r="42">
          <cell r="G42">
            <v>570928</v>
          </cell>
        </row>
        <row r="43">
          <cell r="G43">
            <v>971105</v>
          </cell>
        </row>
        <row r="44">
          <cell r="G44">
            <v>998281</v>
          </cell>
        </row>
        <row r="45">
          <cell r="G45">
            <v>365255</v>
          </cell>
        </row>
        <row r="46">
          <cell r="G46">
            <v>1213422</v>
          </cell>
        </row>
        <row r="47">
          <cell r="G47">
            <v>550332</v>
          </cell>
        </row>
        <row r="48">
          <cell r="G48">
            <v>570928</v>
          </cell>
        </row>
        <row r="49">
          <cell r="G49">
            <v>971105</v>
          </cell>
        </row>
        <row r="50">
          <cell r="G50">
            <v>998281</v>
          </cell>
        </row>
        <row r="51">
          <cell r="G51">
            <v>365255</v>
          </cell>
        </row>
        <row r="52">
          <cell r="G52">
            <v>1213422</v>
          </cell>
        </row>
        <row r="53">
          <cell r="G53">
            <v>550332</v>
          </cell>
        </row>
        <row r="54">
          <cell r="G54">
            <v>2393828</v>
          </cell>
        </row>
        <row r="55">
          <cell r="G55">
            <v>2393828</v>
          </cell>
        </row>
        <row r="56">
          <cell r="G56">
            <v>570928</v>
          </cell>
        </row>
        <row r="57">
          <cell r="G57">
            <v>971105</v>
          </cell>
        </row>
        <row r="58">
          <cell r="G58">
            <v>998281</v>
          </cell>
        </row>
        <row r="59">
          <cell r="G59">
            <v>365255</v>
          </cell>
        </row>
        <row r="60">
          <cell r="G60">
            <v>1213422</v>
          </cell>
        </row>
        <row r="61">
          <cell r="G61">
            <v>550332</v>
          </cell>
        </row>
        <row r="62">
          <cell r="G62">
            <v>2393828</v>
          </cell>
        </row>
        <row r="63">
          <cell r="G63">
            <v>51125</v>
          </cell>
        </row>
        <row r="64">
          <cell r="G64">
            <v>2070561</v>
          </cell>
        </row>
        <row r="65">
          <cell r="G65">
            <v>360000</v>
          </cell>
        </row>
        <row r="66">
          <cell r="G66">
            <v>54280</v>
          </cell>
        </row>
        <row r="67">
          <cell r="G67">
            <v>690000</v>
          </cell>
        </row>
        <row r="68">
          <cell r="G68">
            <v>690000</v>
          </cell>
        </row>
        <row r="69">
          <cell r="G69">
            <v>690000</v>
          </cell>
        </row>
        <row r="70">
          <cell r="G70">
            <v>690000</v>
          </cell>
        </row>
        <row r="71">
          <cell r="G71">
            <v>920000</v>
          </cell>
        </row>
        <row r="72">
          <cell r="G72">
            <v>230000</v>
          </cell>
        </row>
        <row r="73">
          <cell r="G73">
            <v>230000</v>
          </cell>
        </row>
        <row r="74">
          <cell r="G74">
            <v>5900</v>
          </cell>
        </row>
        <row r="75">
          <cell r="G75">
            <v>5900</v>
          </cell>
        </row>
        <row r="76">
          <cell r="G76">
            <v>2737241</v>
          </cell>
        </row>
        <row r="77">
          <cell r="G77">
            <v>2737241</v>
          </cell>
        </row>
        <row r="78">
          <cell r="G78">
            <v>2737241</v>
          </cell>
        </row>
        <row r="79">
          <cell r="G79">
            <v>1737871</v>
          </cell>
        </row>
        <row r="80">
          <cell r="G80">
            <v>3555757</v>
          </cell>
        </row>
        <row r="81">
          <cell r="G81">
            <v>570928</v>
          </cell>
        </row>
        <row r="82">
          <cell r="G82">
            <v>971105</v>
          </cell>
        </row>
        <row r="83">
          <cell r="G83">
            <v>998281</v>
          </cell>
        </row>
        <row r="84">
          <cell r="G84">
            <v>365255</v>
          </cell>
        </row>
        <row r="85">
          <cell r="G85">
            <v>1213422</v>
          </cell>
        </row>
        <row r="86">
          <cell r="G86">
            <v>550332</v>
          </cell>
        </row>
        <row r="87">
          <cell r="G87">
            <v>2393828</v>
          </cell>
        </row>
        <row r="89">
          <cell r="G89">
            <v>7080</v>
          </cell>
        </row>
        <row r="112">
          <cell r="G112">
            <v>82710</v>
          </cell>
        </row>
        <row r="113">
          <cell r="G113">
            <v>600000</v>
          </cell>
        </row>
        <row r="114">
          <cell r="G114">
            <v>634504</v>
          </cell>
        </row>
        <row r="115">
          <cell r="G115">
            <v>1032352</v>
          </cell>
        </row>
        <row r="116">
          <cell r="G116">
            <v>1092437</v>
          </cell>
        </row>
        <row r="117">
          <cell r="G117">
            <v>1983614</v>
          </cell>
        </row>
        <row r="118">
          <cell r="G118">
            <v>1983614</v>
          </cell>
        </row>
        <row r="119">
          <cell r="G119">
            <v>1983614</v>
          </cell>
        </row>
        <row r="121">
          <cell r="G121">
            <v>646800</v>
          </cell>
        </row>
        <row r="122">
          <cell r="G122">
            <v>85000</v>
          </cell>
        </row>
        <row r="123">
          <cell r="G123">
            <v>120000</v>
          </cell>
        </row>
        <row r="124">
          <cell r="G124">
            <v>1594718</v>
          </cell>
        </row>
        <row r="128">
          <cell r="G128">
            <v>230000</v>
          </cell>
        </row>
        <row r="129">
          <cell r="G129">
            <v>5900</v>
          </cell>
        </row>
        <row r="130">
          <cell r="G130">
            <v>2737241</v>
          </cell>
        </row>
        <row r="131">
          <cell r="G131">
            <v>2737241</v>
          </cell>
        </row>
        <row r="132">
          <cell r="G132">
            <v>2737241</v>
          </cell>
        </row>
        <row r="133">
          <cell r="G133">
            <v>1737871</v>
          </cell>
        </row>
        <row r="134">
          <cell r="G134">
            <v>3555757</v>
          </cell>
        </row>
        <row r="135">
          <cell r="G135">
            <v>3481392</v>
          </cell>
        </row>
        <row r="136">
          <cell r="G136">
            <v>570928</v>
          </cell>
        </row>
        <row r="137">
          <cell r="G137">
            <v>971105</v>
          </cell>
        </row>
        <row r="138">
          <cell r="G138">
            <v>998281</v>
          </cell>
        </row>
        <row r="139">
          <cell r="G139">
            <v>365255</v>
          </cell>
        </row>
        <row r="140">
          <cell r="G140">
            <v>1213422</v>
          </cell>
        </row>
        <row r="141">
          <cell r="G141">
            <v>550332</v>
          </cell>
        </row>
        <row r="142">
          <cell r="G142">
            <v>2393828</v>
          </cell>
        </row>
        <row r="143">
          <cell r="G143">
            <v>530000</v>
          </cell>
        </row>
        <row r="144">
          <cell r="G144">
            <v>7080</v>
          </cell>
        </row>
        <row r="165">
          <cell r="G165">
            <v>655957</v>
          </cell>
        </row>
        <row r="166">
          <cell r="G166">
            <v>750000</v>
          </cell>
        </row>
        <row r="167">
          <cell r="G167">
            <v>1480512</v>
          </cell>
        </row>
        <row r="168">
          <cell r="G168">
            <v>118155</v>
          </cell>
        </row>
        <row r="169">
          <cell r="G169">
            <v>100500</v>
          </cell>
        </row>
        <row r="170">
          <cell r="G170">
            <v>3579838</v>
          </cell>
        </row>
        <row r="171">
          <cell r="G171">
            <v>622835</v>
          </cell>
        </row>
        <row r="172">
          <cell r="G172">
            <v>1460000</v>
          </cell>
        </row>
        <row r="173">
          <cell r="G173">
            <v>2737241</v>
          </cell>
        </row>
        <row r="174">
          <cell r="G174">
            <v>2737241</v>
          </cell>
        </row>
        <row r="175">
          <cell r="G175">
            <v>2737241</v>
          </cell>
        </row>
        <row r="176">
          <cell r="G176">
            <v>1737871</v>
          </cell>
        </row>
        <row r="177">
          <cell r="G177">
            <v>3555757</v>
          </cell>
        </row>
        <row r="178">
          <cell r="G178">
            <v>3481392</v>
          </cell>
        </row>
        <row r="179">
          <cell r="G179">
            <v>570928</v>
          </cell>
        </row>
        <row r="180">
          <cell r="G180">
            <v>971105</v>
          </cell>
        </row>
        <row r="181">
          <cell r="G181">
            <v>998281</v>
          </cell>
        </row>
        <row r="182">
          <cell r="G182">
            <v>365255</v>
          </cell>
        </row>
        <row r="183">
          <cell r="G183">
            <v>1213422</v>
          </cell>
        </row>
        <row r="184">
          <cell r="G184">
            <v>550332</v>
          </cell>
        </row>
        <row r="185">
          <cell r="G185">
            <v>2393828</v>
          </cell>
        </row>
        <row r="188">
          <cell r="G188">
            <v>1794567</v>
          </cell>
        </row>
        <row r="189">
          <cell r="G189">
            <v>2951806</v>
          </cell>
        </row>
        <row r="191">
          <cell r="G191">
            <v>230000</v>
          </cell>
        </row>
        <row r="193">
          <cell r="G193">
            <v>230000</v>
          </cell>
        </row>
        <row r="195">
          <cell r="G195">
            <v>8110513</v>
          </cell>
        </row>
        <row r="211">
          <cell r="G211">
            <v>1028935</v>
          </cell>
        </row>
        <row r="212">
          <cell r="G212">
            <v>129000</v>
          </cell>
        </row>
        <row r="213">
          <cell r="G213">
            <v>30000</v>
          </cell>
        </row>
        <row r="214">
          <cell r="G214">
            <v>39000</v>
          </cell>
        </row>
        <row r="216">
          <cell r="G216">
            <v>131983</v>
          </cell>
        </row>
        <row r="217">
          <cell r="G217">
            <v>2737241</v>
          </cell>
        </row>
        <row r="218">
          <cell r="G218">
            <v>2737241</v>
          </cell>
        </row>
        <row r="219">
          <cell r="G219">
            <v>2737241</v>
          </cell>
        </row>
        <row r="220">
          <cell r="G220">
            <v>1737871</v>
          </cell>
        </row>
        <row r="221">
          <cell r="G221">
            <v>3555757</v>
          </cell>
        </row>
        <row r="222">
          <cell r="G222">
            <v>3481392</v>
          </cell>
        </row>
        <row r="223">
          <cell r="G223">
            <v>2544567</v>
          </cell>
        </row>
        <row r="224">
          <cell r="G224">
            <v>570928</v>
          </cell>
        </row>
        <row r="225">
          <cell r="G225">
            <v>971105</v>
          </cell>
        </row>
        <row r="226">
          <cell r="G226">
            <v>998281</v>
          </cell>
        </row>
        <row r="227">
          <cell r="G227">
            <v>365255</v>
          </cell>
        </row>
        <row r="228">
          <cell r="G228">
            <v>1213422</v>
          </cell>
        </row>
        <row r="229">
          <cell r="G229">
            <v>550332</v>
          </cell>
        </row>
        <row r="230">
          <cell r="G230">
            <v>2393828</v>
          </cell>
        </row>
        <row r="232">
          <cell r="G232">
            <v>230000</v>
          </cell>
        </row>
        <row r="233">
          <cell r="G233">
            <v>5900</v>
          </cell>
        </row>
        <row r="236">
          <cell r="G236">
            <v>525000</v>
          </cell>
        </row>
        <row r="237">
          <cell r="G237">
            <v>7080</v>
          </cell>
        </row>
      </sheetData>
      <sheetData sheetId="1" refreshError="1"/>
      <sheetData sheetId="2" refreshError="1"/>
      <sheetData sheetId="3" refreshError="1"/>
      <sheetData sheetId="4">
        <row r="6">
          <cell r="B6">
            <v>42480</v>
          </cell>
        </row>
        <row r="14">
          <cell r="C14">
            <v>350.63273964604389</v>
          </cell>
        </row>
        <row r="15">
          <cell r="C15">
            <v>350.63273964604389</v>
          </cell>
        </row>
        <row r="16">
          <cell r="C16">
            <v>350.63273964604389</v>
          </cell>
        </row>
        <row r="17">
          <cell r="C17">
            <v>350.63273964604389</v>
          </cell>
        </row>
        <row r="18">
          <cell r="C18">
            <v>350.63273964604389</v>
          </cell>
        </row>
        <row r="25">
          <cell r="C25">
            <v>449.80387433932407</v>
          </cell>
        </row>
        <row r="26">
          <cell r="C26">
            <v>418.04112159790964</v>
          </cell>
        </row>
        <row r="27">
          <cell r="C27">
            <v>314.22638983957791</v>
          </cell>
        </row>
        <row r="28">
          <cell r="C28">
            <v>529.3792123569076</v>
          </cell>
        </row>
        <row r="29">
          <cell r="C29">
            <v>529.3792123569076</v>
          </cell>
        </row>
        <row r="30">
          <cell r="C30">
            <v>529.3792123569076</v>
          </cell>
        </row>
        <row r="37">
          <cell r="C37">
            <v>350.63273964604389</v>
          </cell>
        </row>
        <row r="38">
          <cell r="C38">
            <v>350.63273964604389</v>
          </cell>
        </row>
        <row r="39">
          <cell r="C39">
            <v>350.63273964604389</v>
          </cell>
        </row>
        <row r="40">
          <cell r="C40">
            <v>350.63273964604389</v>
          </cell>
        </row>
        <row r="41">
          <cell r="C41">
            <v>350.63273964604389</v>
          </cell>
        </row>
        <row r="49">
          <cell r="C49">
            <v>350.63273964604389</v>
          </cell>
        </row>
        <row r="50">
          <cell r="C50">
            <v>350.63273964604389</v>
          </cell>
        </row>
        <row r="57">
          <cell r="C57">
            <v>350.63273964604389</v>
          </cell>
        </row>
        <row r="58">
          <cell r="C58">
            <v>350.63273964604389</v>
          </cell>
        </row>
        <row r="59">
          <cell r="C59">
            <v>350.63273964604389</v>
          </cell>
        </row>
        <row r="60">
          <cell r="C60">
            <v>350.63273964604389</v>
          </cell>
        </row>
        <row r="61">
          <cell r="C61">
            <v>350.63273964604389</v>
          </cell>
        </row>
        <row r="62">
          <cell r="C62">
            <v>350.63273964604389</v>
          </cell>
        </row>
        <row r="63">
          <cell r="C63">
            <v>350.63273964604389</v>
          </cell>
        </row>
        <row r="71">
          <cell r="C71">
            <v>755.99924995083518</v>
          </cell>
        </row>
        <row r="72">
          <cell r="C72">
            <v>691.51941362010007</v>
          </cell>
        </row>
        <row r="79">
          <cell r="C79">
            <v>755.99924995083518</v>
          </cell>
        </row>
        <row r="80">
          <cell r="C80">
            <v>291.83162920740233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ncy"/>
      <sheetName val="Non Consultancy"/>
      <sheetName val="Goods"/>
      <sheetName val="OVER ALL SUMMARY"/>
      <sheetName val="Sourcing Methods Mapping"/>
    </sheetNames>
    <sheetDataSet>
      <sheetData sheetId="0" refreshError="1"/>
      <sheetData sheetId="1" refreshError="1">
        <row r="6">
          <cell r="H6">
            <v>609.79606894964149</v>
          </cell>
        </row>
      </sheetData>
      <sheetData sheetId="2" refreshError="1">
        <row r="10">
          <cell r="H10">
            <v>18000</v>
          </cell>
        </row>
        <row r="11">
          <cell r="H11">
            <v>9909.1861204316756</v>
          </cell>
        </row>
        <row r="12">
          <cell r="H12">
            <v>6000</v>
          </cell>
        </row>
        <row r="13">
          <cell r="H13">
            <v>5000</v>
          </cell>
        </row>
        <row r="14">
          <cell r="H14">
            <v>6097.9606894964154</v>
          </cell>
        </row>
        <row r="15">
          <cell r="H15">
            <v>11000</v>
          </cell>
        </row>
        <row r="16">
          <cell r="H16">
            <v>1300</v>
          </cell>
        </row>
        <row r="17">
          <cell r="H17">
            <v>1900</v>
          </cell>
        </row>
        <row r="18">
          <cell r="H18">
            <v>3300</v>
          </cell>
        </row>
        <row r="24">
          <cell r="H24">
            <v>2000</v>
          </cell>
        </row>
        <row r="29">
          <cell r="H29">
            <v>3658.776413697849</v>
          </cell>
        </row>
        <row r="31">
          <cell r="H31">
            <v>3430.1028878417337</v>
          </cell>
        </row>
      </sheetData>
      <sheetData sheetId="3" refreshError="1"/>
      <sheetData sheetId="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0"/>
  <sheetViews>
    <sheetView workbookViewId="0">
      <pane ySplit="8" topLeftCell="A281" activePane="bottomLeft" state="frozen"/>
      <selection pane="bottomLeft" activeCell="B9" sqref="B9:B10"/>
    </sheetView>
  </sheetViews>
  <sheetFormatPr defaultColWidth="14.42578125" defaultRowHeight="15" customHeight="1"/>
  <cols>
    <col min="1" max="1" width="9" customWidth="1"/>
    <col min="2" max="2" width="22.42578125" customWidth="1"/>
    <col min="3" max="3" width="29.28515625" customWidth="1"/>
    <col min="4" max="4" width="12.5703125" customWidth="1"/>
    <col min="5" max="5" width="11.28515625" customWidth="1"/>
    <col min="6" max="6" width="11.42578125" customWidth="1"/>
    <col min="7" max="7" width="12" customWidth="1"/>
    <col min="8" max="8" width="12.7109375" customWidth="1"/>
    <col min="9" max="9" width="22.85546875" customWidth="1"/>
    <col min="10" max="10" width="12.5703125" customWidth="1"/>
    <col min="11" max="11" width="32" customWidth="1"/>
    <col min="12" max="26" width="10.7109375" customWidth="1"/>
  </cols>
  <sheetData>
    <row r="1" spans="1:10">
      <c r="A1" s="1"/>
      <c r="B1" s="2"/>
      <c r="C1" s="2"/>
      <c r="D1" s="2"/>
      <c r="E1" s="2"/>
      <c r="F1" s="2"/>
      <c r="G1" s="2"/>
      <c r="H1" s="2"/>
      <c r="I1" s="3"/>
    </row>
    <row r="2" spans="1:10">
      <c r="A2" s="4"/>
      <c r="B2" s="5"/>
      <c r="C2" s="5"/>
      <c r="D2" s="5"/>
      <c r="E2" s="5"/>
      <c r="F2" s="5"/>
      <c r="G2" s="5"/>
      <c r="H2" s="5"/>
      <c r="I2" s="6"/>
    </row>
    <row r="3" spans="1:10">
      <c r="A3" s="4"/>
      <c r="B3" s="5"/>
      <c r="C3" s="5"/>
      <c r="D3" s="5"/>
      <c r="E3" s="5"/>
      <c r="F3" s="5"/>
      <c r="G3" s="5"/>
      <c r="H3" s="5"/>
      <c r="I3" s="6"/>
    </row>
    <row r="4" spans="1:10">
      <c r="A4" s="4"/>
      <c r="B4" s="5"/>
      <c r="C4" s="5"/>
      <c r="D4" s="5"/>
      <c r="E4" s="5"/>
      <c r="F4" s="5"/>
      <c r="G4" s="5"/>
      <c r="H4" s="5"/>
      <c r="I4" s="6"/>
    </row>
    <row r="5" spans="1:10">
      <c r="A5" s="7" t="s">
        <v>0</v>
      </c>
      <c r="B5" s="8"/>
      <c r="C5" s="8"/>
      <c r="D5" s="9"/>
      <c r="E5" s="9"/>
      <c r="F5" s="9"/>
      <c r="G5" s="9"/>
      <c r="H5" s="9"/>
      <c r="I5" s="10"/>
      <c r="J5" s="11"/>
    </row>
    <row r="6" spans="1:10">
      <c r="A6" s="7" t="s">
        <v>1</v>
      </c>
      <c r="B6" s="8"/>
      <c r="C6" s="8"/>
      <c r="D6" s="9"/>
      <c r="E6" s="9"/>
      <c r="F6" s="9"/>
      <c r="G6" s="9"/>
      <c r="H6" s="9"/>
      <c r="I6" s="10"/>
      <c r="J6" s="11"/>
    </row>
    <row r="7" spans="1:10" ht="15.75">
      <c r="A7" s="964" t="s">
        <v>2</v>
      </c>
      <c r="B7" s="965"/>
      <c r="C7" s="965"/>
      <c r="D7" s="965"/>
      <c r="E7" s="965"/>
      <c r="F7" s="965"/>
      <c r="G7" s="965"/>
      <c r="H7" s="965"/>
      <c r="I7" s="966"/>
      <c r="J7" s="11"/>
    </row>
    <row r="8" spans="1:10" ht="15.75">
      <c r="A8" s="964" t="s">
        <v>3</v>
      </c>
      <c r="B8" s="965"/>
      <c r="C8" s="965"/>
      <c r="D8" s="965"/>
      <c r="E8" s="965"/>
      <c r="F8" s="965"/>
      <c r="G8" s="965"/>
      <c r="H8" s="965"/>
      <c r="I8" s="966"/>
      <c r="J8" s="11"/>
    </row>
    <row r="9" spans="1:10" ht="31.5" customHeight="1">
      <c r="A9" s="967" t="s">
        <v>4</v>
      </c>
      <c r="B9" s="969" t="s">
        <v>5</v>
      </c>
      <c r="C9" s="971" t="s">
        <v>6</v>
      </c>
      <c r="D9" s="969" t="s">
        <v>7</v>
      </c>
      <c r="E9" s="969" t="s">
        <v>8</v>
      </c>
      <c r="F9" s="961" t="s">
        <v>9</v>
      </c>
      <c r="G9" s="935"/>
      <c r="H9" s="958"/>
      <c r="I9" s="962" t="s">
        <v>10</v>
      </c>
      <c r="J9" s="11"/>
    </row>
    <row r="10" spans="1:10" ht="26.25" customHeight="1">
      <c r="A10" s="968"/>
      <c r="B10" s="970"/>
      <c r="C10" s="970"/>
      <c r="D10" s="970"/>
      <c r="E10" s="970"/>
      <c r="F10" s="12" t="s">
        <v>11</v>
      </c>
      <c r="G10" s="12" t="s">
        <v>12</v>
      </c>
      <c r="H10" s="12" t="s">
        <v>13</v>
      </c>
      <c r="I10" s="963"/>
      <c r="J10" s="11"/>
    </row>
    <row r="11" spans="1:10" ht="17.25" customHeight="1">
      <c r="A11" s="13"/>
      <c r="B11" s="957" t="s">
        <v>14</v>
      </c>
      <c r="C11" s="935"/>
      <c r="D11" s="935"/>
      <c r="E11" s="958"/>
      <c r="F11" s="12"/>
      <c r="G11" s="12"/>
      <c r="H11" s="12"/>
      <c r="I11" s="14"/>
      <c r="J11" s="11"/>
    </row>
    <row r="12" spans="1:10">
      <c r="A12" s="15">
        <v>44256</v>
      </c>
      <c r="B12" s="16"/>
      <c r="C12" s="16" t="s">
        <v>15</v>
      </c>
      <c r="D12" s="17"/>
      <c r="E12" s="17"/>
      <c r="F12" s="18"/>
      <c r="G12" s="19"/>
      <c r="H12" s="18">
        <f>0</f>
        <v>0</v>
      </c>
      <c r="I12" s="20"/>
      <c r="J12" s="11"/>
    </row>
    <row r="13" spans="1:10" ht="26.25">
      <c r="A13" s="15">
        <v>44316</v>
      </c>
      <c r="B13" s="21" t="s">
        <v>16</v>
      </c>
      <c r="C13" s="22" t="s">
        <v>17</v>
      </c>
      <c r="D13" s="23" t="s">
        <v>18</v>
      </c>
      <c r="E13" s="24" t="s">
        <v>19</v>
      </c>
      <c r="F13" s="18"/>
      <c r="G13" s="19">
        <f t="shared" ref="G13:G14" si="0">6000+1080</f>
        <v>7080</v>
      </c>
      <c r="H13" s="19">
        <f t="shared" ref="H13:H89" si="1">H12+F13-G13</f>
        <v>-7080</v>
      </c>
      <c r="I13" s="20" t="s">
        <v>20</v>
      </c>
      <c r="J13" s="11"/>
    </row>
    <row r="14" spans="1:10" ht="26.25">
      <c r="A14" s="15">
        <v>44316</v>
      </c>
      <c r="B14" s="21" t="s">
        <v>16</v>
      </c>
      <c r="C14" s="22" t="s">
        <v>21</v>
      </c>
      <c r="D14" s="23" t="s">
        <v>22</v>
      </c>
      <c r="E14" s="24" t="s">
        <v>19</v>
      </c>
      <c r="F14" s="18"/>
      <c r="G14" s="19">
        <f t="shared" si="0"/>
        <v>7080</v>
      </c>
      <c r="H14" s="19">
        <f t="shared" si="1"/>
        <v>-14160</v>
      </c>
      <c r="I14" s="20" t="s">
        <v>20</v>
      </c>
      <c r="J14" s="11"/>
    </row>
    <row r="15" spans="1:10" ht="51">
      <c r="A15" s="25">
        <v>44323</v>
      </c>
      <c r="B15" s="26" t="s">
        <v>23</v>
      </c>
      <c r="C15" s="27" t="s">
        <v>24</v>
      </c>
      <c r="D15" s="28" t="s">
        <v>25</v>
      </c>
      <c r="E15" s="29" t="s">
        <v>26</v>
      </c>
      <c r="F15" s="30">
        <f>887126329</f>
        <v>887126329</v>
      </c>
      <c r="G15" s="31"/>
      <c r="H15" s="32">
        <f t="shared" si="1"/>
        <v>887112169</v>
      </c>
      <c r="I15" s="20"/>
      <c r="J15" s="11"/>
    </row>
    <row r="16" spans="1:10" ht="26.25">
      <c r="A16" s="15">
        <v>44347</v>
      </c>
      <c r="B16" s="21" t="s">
        <v>16</v>
      </c>
      <c r="C16" s="22" t="s">
        <v>27</v>
      </c>
      <c r="D16" s="28" t="s">
        <v>28</v>
      </c>
      <c r="E16" s="24" t="s">
        <v>19</v>
      </c>
      <c r="F16" s="18"/>
      <c r="G16" s="19">
        <f>6000+1080</f>
        <v>7080</v>
      </c>
      <c r="H16" s="19">
        <f t="shared" si="1"/>
        <v>887105089</v>
      </c>
      <c r="I16" s="20" t="s">
        <v>20</v>
      </c>
      <c r="J16" s="11"/>
    </row>
    <row r="17" spans="1:10" ht="26.25">
      <c r="A17" s="15">
        <v>44377</v>
      </c>
      <c r="B17" s="21" t="s">
        <v>16</v>
      </c>
      <c r="C17" s="22" t="s">
        <v>29</v>
      </c>
      <c r="D17" s="28" t="s">
        <v>30</v>
      </c>
      <c r="E17" s="24" t="s">
        <v>19</v>
      </c>
      <c r="F17" s="18"/>
      <c r="G17" s="19">
        <f>6000+1080+108+19</f>
        <v>7207</v>
      </c>
      <c r="H17" s="19">
        <f t="shared" si="1"/>
        <v>887097882</v>
      </c>
      <c r="I17" s="20" t="s">
        <v>20</v>
      </c>
      <c r="J17" s="11"/>
    </row>
    <row r="18" spans="1:10" ht="26.25">
      <c r="A18" s="25">
        <v>44393</v>
      </c>
      <c r="B18" s="33" t="s">
        <v>31</v>
      </c>
      <c r="C18" s="34" t="s">
        <v>32</v>
      </c>
      <c r="D18" s="28" t="s">
        <v>33</v>
      </c>
      <c r="E18" s="24">
        <v>9678890</v>
      </c>
      <c r="F18" s="19"/>
      <c r="G18" s="35">
        <f t="shared" ref="G18:G21" si="2">600000</f>
        <v>600000</v>
      </c>
      <c r="H18" s="19">
        <f t="shared" si="1"/>
        <v>886497882</v>
      </c>
      <c r="I18" s="36" t="s">
        <v>34</v>
      </c>
      <c r="J18" s="11"/>
    </row>
    <row r="19" spans="1:10" ht="26.25">
      <c r="A19" s="25">
        <v>44393</v>
      </c>
      <c r="B19" s="37" t="s">
        <v>35</v>
      </c>
      <c r="C19" s="34" t="s">
        <v>36</v>
      </c>
      <c r="D19" s="28" t="s">
        <v>37</v>
      </c>
      <c r="E19" s="29">
        <v>9678891</v>
      </c>
      <c r="F19" s="38"/>
      <c r="G19" s="39">
        <f t="shared" si="2"/>
        <v>600000</v>
      </c>
      <c r="H19" s="19">
        <f t="shared" si="1"/>
        <v>885897882</v>
      </c>
      <c r="I19" s="36" t="s">
        <v>34</v>
      </c>
      <c r="J19" s="11"/>
    </row>
    <row r="20" spans="1:10" ht="26.25">
      <c r="A20" s="25">
        <v>44393</v>
      </c>
      <c r="B20" s="40" t="s">
        <v>38</v>
      </c>
      <c r="C20" s="34" t="s">
        <v>39</v>
      </c>
      <c r="D20" s="28" t="s">
        <v>40</v>
      </c>
      <c r="E20" s="29">
        <v>9678892</v>
      </c>
      <c r="F20" s="39"/>
      <c r="G20" s="39">
        <f t="shared" si="2"/>
        <v>600000</v>
      </c>
      <c r="H20" s="19">
        <f t="shared" si="1"/>
        <v>885297882</v>
      </c>
      <c r="I20" s="41" t="s">
        <v>41</v>
      </c>
      <c r="J20" s="11"/>
    </row>
    <row r="21" spans="1:10" ht="15.75" customHeight="1">
      <c r="A21" s="25">
        <v>44393</v>
      </c>
      <c r="B21" s="37" t="s">
        <v>42</v>
      </c>
      <c r="C21" s="34" t="s">
        <v>43</v>
      </c>
      <c r="D21" s="28" t="s">
        <v>44</v>
      </c>
      <c r="E21" s="29">
        <v>9678893</v>
      </c>
      <c r="F21" s="39"/>
      <c r="G21" s="39">
        <f t="shared" si="2"/>
        <v>600000</v>
      </c>
      <c r="H21" s="32">
        <f t="shared" si="1"/>
        <v>884697882</v>
      </c>
      <c r="I21" s="41" t="s">
        <v>45</v>
      </c>
      <c r="J21" s="11"/>
    </row>
    <row r="22" spans="1:10" ht="21" customHeight="1">
      <c r="A22" s="25">
        <v>44393</v>
      </c>
      <c r="B22" s="37" t="s">
        <v>46</v>
      </c>
      <c r="C22" s="37" t="s">
        <v>46</v>
      </c>
      <c r="D22" s="37"/>
      <c r="E22" s="42">
        <v>9678894</v>
      </c>
      <c r="F22" s="43"/>
      <c r="G22" s="39">
        <f>0</f>
        <v>0</v>
      </c>
      <c r="H22" s="32">
        <f t="shared" si="1"/>
        <v>884697882</v>
      </c>
      <c r="I22" s="44"/>
      <c r="J22" s="11"/>
    </row>
    <row r="23" spans="1:10" ht="24.75" customHeight="1">
      <c r="A23" s="15">
        <v>44407</v>
      </c>
      <c r="B23" s="21" t="s">
        <v>16</v>
      </c>
      <c r="C23" s="22" t="s">
        <v>47</v>
      </c>
      <c r="D23" s="28" t="s">
        <v>48</v>
      </c>
      <c r="E23" s="24" t="s">
        <v>19</v>
      </c>
      <c r="F23" s="18"/>
      <c r="G23" s="19">
        <f>6000+1080</f>
        <v>7080</v>
      </c>
      <c r="H23" s="32">
        <f t="shared" si="1"/>
        <v>884690802</v>
      </c>
      <c r="I23" s="20" t="s">
        <v>20</v>
      </c>
      <c r="J23" s="11"/>
    </row>
    <row r="24" spans="1:10" ht="27" customHeight="1">
      <c r="A24" s="25">
        <v>44412</v>
      </c>
      <c r="B24" s="37" t="s">
        <v>42</v>
      </c>
      <c r="C24" s="45" t="s">
        <v>49</v>
      </c>
      <c r="D24" s="28" t="s">
        <v>50</v>
      </c>
      <c r="E24" s="29" t="s">
        <v>26</v>
      </c>
      <c r="F24" s="38"/>
      <c r="G24" s="39">
        <f>1214765</f>
        <v>1214765</v>
      </c>
      <c r="H24" s="32">
        <f t="shared" si="1"/>
        <v>883476037</v>
      </c>
      <c r="I24" s="41" t="s">
        <v>45</v>
      </c>
      <c r="J24" s="11"/>
    </row>
    <row r="25" spans="1:10" ht="15.75" customHeight="1">
      <c r="A25" s="25">
        <v>44412</v>
      </c>
      <c r="B25" s="37" t="s">
        <v>35</v>
      </c>
      <c r="C25" s="45" t="s">
        <v>51</v>
      </c>
      <c r="D25" s="28" t="s">
        <v>52</v>
      </c>
      <c r="E25" s="29" t="s">
        <v>26</v>
      </c>
      <c r="F25" s="38"/>
      <c r="G25" s="39">
        <f>1229765</f>
        <v>1229765</v>
      </c>
      <c r="H25" s="32">
        <f t="shared" si="1"/>
        <v>882246272</v>
      </c>
      <c r="I25" s="36" t="s">
        <v>34</v>
      </c>
      <c r="J25" s="46"/>
    </row>
    <row r="26" spans="1:10" ht="27" customHeight="1">
      <c r="A26" s="25">
        <v>44412</v>
      </c>
      <c r="B26" s="40" t="s">
        <v>38</v>
      </c>
      <c r="C26" s="45" t="s">
        <v>53</v>
      </c>
      <c r="D26" s="28" t="s">
        <v>52</v>
      </c>
      <c r="E26" s="29" t="s">
        <v>26</v>
      </c>
      <c r="F26" s="38"/>
      <c r="G26" s="39">
        <f>1224765</f>
        <v>1224765</v>
      </c>
      <c r="H26" s="32">
        <f t="shared" si="1"/>
        <v>881021507</v>
      </c>
      <c r="I26" s="41" t="s">
        <v>41</v>
      </c>
      <c r="J26" s="11"/>
    </row>
    <row r="27" spans="1:10" ht="15.75" customHeight="1">
      <c r="A27" s="47">
        <v>44412</v>
      </c>
      <c r="B27" s="48" t="s">
        <v>31</v>
      </c>
      <c r="C27" s="49" t="s">
        <v>54</v>
      </c>
      <c r="D27" s="28" t="s">
        <v>52</v>
      </c>
      <c r="E27" s="50" t="s">
        <v>26</v>
      </c>
      <c r="F27" s="38"/>
      <c r="G27" s="39">
        <f>1214765</f>
        <v>1214765</v>
      </c>
      <c r="H27" s="32">
        <f t="shared" si="1"/>
        <v>879806742</v>
      </c>
      <c r="I27" s="36" t="s">
        <v>34</v>
      </c>
      <c r="J27" s="11"/>
    </row>
    <row r="28" spans="1:10" ht="15.75" customHeight="1">
      <c r="A28" s="47">
        <v>44439</v>
      </c>
      <c r="B28" s="37" t="s">
        <v>35</v>
      </c>
      <c r="C28" s="49" t="s">
        <v>55</v>
      </c>
      <c r="D28" s="28" t="s">
        <v>56</v>
      </c>
      <c r="E28" s="50" t="s">
        <v>26</v>
      </c>
      <c r="F28" s="38"/>
      <c r="G28" s="39">
        <f t="shared" ref="G28:G30" si="3">2737241</f>
        <v>2737241</v>
      </c>
      <c r="H28" s="32">
        <f t="shared" si="1"/>
        <v>877069501</v>
      </c>
      <c r="I28" s="36" t="s">
        <v>34</v>
      </c>
      <c r="J28" s="11"/>
    </row>
    <row r="29" spans="1:10" ht="15.75" customHeight="1">
      <c r="A29" s="47">
        <v>44439</v>
      </c>
      <c r="B29" s="40" t="s">
        <v>38</v>
      </c>
      <c r="C29" s="49" t="s">
        <v>55</v>
      </c>
      <c r="D29" s="28" t="s">
        <v>56</v>
      </c>
      <c r="E29" s="50" t="s">
        <v>26</v>
      </c>
      <c r="F29" s="38"/>
      <c r="G29" s="39">
        <f t="shared" si="3"/>
        <v>2737241</v>
      </c>
      <c r="H29" s="32">
        <f t="shared" si="1"/>
        <v>874332260</v>
      </c>
      <c r="I29" s="41" t="s">
        <v>41</v>
      </c>
      <c r="J29" s="11"/>
    </row>
    <row r="30" spans="1:10" ht="15.75" customHeight="1">
      <c r="A30" s="47">
        <v>44439</v>
      </c>
      <c r="B30" s="48" t="s">
        <v>31</v>
      </c>
      <c r="C30" s="49" t="s">
        <v>55</v>
      </c>
      <c r="D30" s="28" t="s">
        <v>56</v>
      </c>
      <c r="E30" s="50" t="s">
        <v>26</v>
      </c>
      <c r="F30" s="38"/>
      <c r="G30" s="39">
        <f t="shared" si="3"/>
        <v>2737241</v>
      </c>
      <c r="H30" s="32">
        <f t="shared" si="1"/>
        <v>871595019</v>
      </c>
      <c r="I30" s="36" t="s">
        <v>34</v>
      </c>
      <c r="J30" s="11"/>
    </row>
    <row r="31" spans="1:10" ht="15.75" customHeight="1">
      <c r="A31" s="47">
        <v>44439</v>
      </c>
      <c r="B31" s="37" t="s">
        <v>42</v>
      </c>
      <c r="C31" s="49" t="s">
        <v>55</v>
      </c>
      <c r="D31" s="28" t="s">
        <v>56</v>
      </c>
      <c r="E31" s="50" t="s">
        <v>26</v>
      </c>
      <c r="F31" s="38"/>
      <c r="G31" s="39">
        <f>1737871</f>
        <v>1737871</v>
      </c>
      <c r="H31" s="32">
        <f t="shared" si="1"/>
        <v>869857148</v>
      </c>
      <c r="I31" s="41" t="s">
        <v>45</v>
      </c>
      <c r="J31" s="11"/>
    </row>
    <row r="32" spans="1:10" ht="15.75" customHeight="1">
      <c r="A32" s="47">
        <v>44439</v>
      </c>
      <c r="B32" s="37" t="s">
        <v>35</v>
      </c>
      <c r="C32" s="49" t="s">
        <v>57</v>
      </c>
      <c r="D32" s="28" t="s">
        <v>58</v>
      </c>
      <c r="E32" s="50" t="s">
        <v>26</v>
      </c>
      <c r="F32" s="38"/>
      <c r="G32" s="39">
        <f t="shared" ref="G32:G34" si="4">2737241</f>
        <v>2737241</v>
      </c>
      <c r="H32" s="32">
        <f t="shared" si="1"/>
        <v>867119907</v>
      </c>
      <c r="I32" s="36" t="s">
        <v>34</v>
      </c>
      <c r="J32" s="11"/>
    </row>
    <row r="33" spans="1:10" ht="15.75" customHeight="1">
      <c r="A33" s="47">
        <v>44439</v>
      </c>
      <c r="B33" s="40" t="s">
        <v>38</v>
      </c>
      <c r="C33" s="49" t="s">
        <v>57</v>
      </c>
      <c r="D33" s="28" t="s">
        <v>58</v>
      </c>
      <c r="E33" s="50" t="s">
        <v>26</v>
      </c>
      <c r="F33" s="38"/>
      <c r="G33" s="39">
        <f t="shared" si="4"/>
        <v>2737241</v>
      </c>
      <c r="H33" s="32">
        <f t="shared" si="1"/>
        <v>864382666</v>
      </c>
      <c r="I33" s="41" t="s">
        <v>41</v>
      </c>
      <c r="J33" s="11"/>
    </row>
    <row r="34" spans="1:10" ht="15.75" customHeight="1">
      <c r="A34" s="47">
        <v>44439</v>
      </c>
      <c r="B34" s="48" t="s">
        <v>31</v>
      </c>
      <c r="C34" s="49" t="s">
        <v>57</v>
      </c>
      <c r="D34" s="28" t="s">
        <v>58</v>
      </c>
      <c r="E34" s="50" t="s">
        <v>26</v>
      </c>
      <c r="F34" s="38"/>
      <c r="G34" s="39">
        <f t="shared" si="4"/>
        <v>2737241</v>
      </c>
      <c r="H34" s="32">
        <f t="shared" si="1"/>
        <v>861645425</v>
      </c>
      <c r="I34" s="36" t="s">
        <v>34</v>
      </c>
      <c r="J34" s="11"/>
    </row>
    <row r="35" spans="1:10" ht="15.75" customHeight="1">
      <c r="A35" s="47">
        <v>44439</v>
      </c>
      <c r="B35" s="37" t="s">
        <v>42</v>
      </c>
      <c r="C35" s="49" t="s">
        <v>57</v>
      </c>
      <c r="D35" s="28" t="s">
        <v>58</v>
      </c>
      <c r="E35" s="50" t="s">
        <v>26</v>
      </c>
      <c r="F35" s="38"/>
      <c r="G35" s="39">
        <f>1737871</f>
        <v>1737871</v>
      </c>
      <c r="H35" s="32">
        <f t="shared" si="1"/>
        <v>859907554</v>
      </c>
      <c r="I35" s="41" t="s">
        <v>45</v>
      </c>
      <c r="J35" s="11"/>
    </row>
    <row r="36" spans="1:10" ht="15.75" customHeight="1">
      <c r="A36" s="47">
        <v>44439</v>
      </c>
      <c r="B36" s="51" t="s">
        <v>59</v>
      </c>
      <c r="C36" s="49" t="s">
        <v>57</v>
      </c>
      <c r="D36" s="28" t="s">
        <v>60</v>
      </c>
      <c r="E36" s="50" t="s">
        <v>26</v>
      </c>
      <c r="F36" s="38"/>
      <c r="G36" s="39">
        <f>1392467</f>
        <v>1392467</v>
      </c>
      <c r="H36" s="32">
        <f t="shared" si="1"/>
        <v>858515087</v>
      </c>
      <c r="I36" s="41" t="s">
        <v>61</v>
      </c>
      <c r="J36" s="11"/>
    </row>
    <row r="37" spans="1:10" ht="24.75" customHeight="1">
      <c r="A37" s="47">
        <v>44439</v>
      </c>
      <c r="B37" s="52" t="s">
        <v>16</v>
      </c>
      <c r="C37" s="22" t="s">
        <v>62</v>
      </c>
      <c r="D37" s="28" t="s">
        <v>63</v>
      </c>
      <c r="E37" s="24" t="s">
        <v>19</v>
      </c>
      <c r="F37" s="18"/>
      <c r="G37" s="32">
        <f>6000+1080</f>
        <v>7080</v>
      </c>
      <c r="H37" s="32">
        <f t="shared" si="1"/>
        <v>858508007</v>
      </c>
      <c r="I37" s="20" t="s">
        <v>20</v>
      </c>
      <c r="J37" s="11"/>
    </row>
    <row r="38" spans="1:10" ht="27.75" customHeight="1">
      <c r="A38" s="47">
        <v>44447</v>
      </c>
      <c r="B38" s="37" t="s">
        <v>42</v>
      </c>
      <c r="C38" s="49" t="s">
        <v>64</v>
      </c>
      <c r="D38" s="28" t="s">
        <v>65</v>
      </c>
      <c r="E38" s="53" t="s">
        <v>66</v>
      </c>
      <c r="F38" s="38"/>
      <c r="G38" s="54">
        <f>-1814765</f>
        <v>-1814765</v>
      </c>
      <c r="H38" s="38">
        <f t="shared" si="1"/>
        <v>860322772</v>
      </c>
      <c r="I38" s="41" t="s">
        <v>45</v>
      </c>
      <c r="J38" s="11"/>
    </row>
    <row r="39" spans="1:10" ht="33" customHeight="1">
      <c r="A39" s="47">
        <v>44447</v>
      </c>
      <c r="B39" s="40" t="s">
        <v>38</v>
      </c>
      <c r="C39" s="49" t="s">
        <v>64</v>
      </c>
      <c r="D39" s="28" t="s">
        <v>67</v>
      </c>
      <c r="E39" s="55" t="s">
        <v>66</v>
      </c>
      <c r="F39" s="38"/>
      <c r="G39" s="54">
        <f t="shared" ref="G39:G40" si="5">-1824765</f>
        <v>-1824765</v>
      </c>
      <c r="H39" s="38">
        <f t="shared" si="1"/>
        <v>862147537</v>
      </c>
      <c r="I39" s="41" t="s">
        <v>41</v>
      </c>
      <c r="J39" s="11"/>
    </row>
    <row r="40" spans="1:10" ht="32.25" customHeight="1">
      <c r="A40" s="47">
        <v>44447</v>
      </c>
      <c r="B40" s="37" t="s">
        <v>35</v>
      </c>
      <c r="C40" s="49" t="s">
        <v>64</v>
      </c>
      <c r="D40" s="28" t="s">
        <v>68</v>
      </c>
      <c r="E40" s="56" t="s">
        <v>69</v>
      </c>
      <c r="F40" s="38"/>
      <c r="G40" s="54">
        <f t="shared" si="5"/>
        <v>-1824765</v>
      </c>
      <c r="H40" s="38">
        <f t="shared" si="1"/>
        <v>863972302</v>
      </c>
      <c r="I40" s="36" t="s">
        <v>34</v>
      </c>
      <c r="J40" s="11"/>
    </row>
    <row r="41" spans="1:10" ht="33" customHeight="1">
      <c r="A41" s="47">
        <v>44447</v>
      </c>
      <c r="B41" s="48" t="s">
        <v>31</v>
      </c>
      <c r="C41" s="49" t="s">
        <v>64</v>
      </c>
      <c r="D41" s="28" t="s">
        <v>70</v>
      </c>
      <c r="E41" s="56" t="s">
        <v>71</v>
      </c>
      <c r="F41" s="38"/>
      <c r="G41" s="54">
        <f>-1814765</f>
        <v>-1814765</v>
      </c>
      <c r="H41" s="38">
        <f t="shared" si="1"/>
        <v>865787067</v>
      </c>
      <c r="I41" s="36" t="s">
        <v>34</v>
      </c>
      <c r="J41" s="11"/>
    </row>
    <row r="42" spans="1:10" ht="15.75" customHeight="1">
      <c r="A42" s="47">
        <v>44447</v>
      </c>
      <c r="B42" s="37" t="s">
        <v>72</v>
      </c>
      <c r="C42" s="52" t="s">
        <v>73</v>
      </c>
      <c r="D42" s="28" t="s">
        <v>74</v>
      </c>
      <c r="E42" s="29" t="s">
        <v>26</v>
      </c>
      <c r="F42" s="38"/>
      <c r="G42" s="39">
        <f>570928</f>
        <v>570928</v>
      </c>
      <c r="H42" s="38">
        <f t="shared" si="1"/>
        <v>865216139</v>
      </c>
      <c r="I42" s="57" t="s">
        <v>75</v>
      </c>
      <c r="J42" s="11"/>
    </row>
    <row r="43" spans="1:10" ht="15.75" customHeight="1">
      <c r="A43" s="47">
        <v>44447</v>
      </c>
      <c r="B43" s="37" t="s">
        <v>76</v>
      </c>
      <c r="C43" s="52" t="s">
        <v>73</v>
      </c>
      <c r="D43" s="28" t="s">
        <v>74</v>
      </c>
      <c r="E43" s="29" t="s">
        <v>26</v>
      </c>
      <c r="F43" s="38"/>
      <c r="G43" s="39">
        <f>971105</f>
        <v>971105</v>
      </c>
      <c r="H43" s="38">
        <f t="shared" si="1"/>
        <v>864245034</v>
      </c>
      <c r="I43" s="57" t="s">
        <v>77</v>
      </c>
      <c r="J43" s="11"/>
    </row>
    <row r="44" spans="1:10" ht="15.75" customHeight="1">
      <c r="A44" s="47">
        <v>44447</v>
      </c>
      <c r="B44" s="40" t="s">
        <v>78</v>
      </c>
      <c r="C44" s="52" t="s">
        <v>73</v>
      </c>
      <c r="D44" s="28" t="s">
        <v>74</v>
      </c>
      <c r="E44" s="29" t="s">
        <v>26</v>
      </c>
      <c r="F44" s="38"/>
      <c r="G44" s="39">
        <f>998281</f>
        <v>998281</v>
      </c>
      <c r="H44" s="38">
        <f t="shared" si="1"/>
        <v>863246753</v>
      </c>
      <c r="I44" s="41" t="s">
        <v>79</v>
      </c>
      <c r="J44" s="11"/>
    </row>
    <row r="45" spans="1:10" ht="15.75" customHeight="1">
      <c r="A45" s="47">
        <v>44447</v>
      </c>
      <c r="B45" s="37" t="s">
        <v>80</v>
      </c>
      <c r="C45" s="52" t="s">
        <v>73</v>
      </c>
      <c r="D45" s="28" t="s">
        <v>74</v>
      </c>
      <c r="E45" s="29" t="s">
        <v>26</v>
      </c>
      <c r="F45" s="38"/>
      <c r="G45" s="39">
        <f>365255</f>
        <v>365255</v>
      </c>
      <c r="H45" s="38">
        <f t="shared" si="1"/>
        <v>862881498</v>
      </c>
      <c r="I45" s="57" t="s">
        <v>81</v>
      </c>
      <c r="J45" s="11"/>
    </row>
    <row r="46" spans="1:10" ht="15.75" customHeight="1">
      <c r="A46" s="47">
        <v>44447</v>
      </c>
      <c r="B46" s="58" t="s">
        <v>82</v>
      </c>
      <c r="C46" s="52" t="s">
        <v>73</v>
      </c>
      <c r="D46" s="28" t="s">
        <v>74</v>
      </c>
      <c r="E46" s="29" t="s">
        <v>26</v>
      </c>
      <c r="F46" s="38"/>
      <c r="G46" s="39">
        <f>1213422</f>
        <v>1213422</v>
      </c>
      <c r="H46" s="38">
        <f t="shared" si="1"/>
        <v>861668076</v>
      </c>
      <c r="I46" s="41" t="s">
        <v>83</v>
      </c>
      <c r="J46" s="11"/>
    </row>
    <row r="47" spans="1:10" ht="15.75" customHeight="1">
      <c r="A47" s="47">
        <v>44447</v>
      </c>
      <c r="B47" s="37" t="s">
        <v>84</v>
      </c>
      <c r="C47" s="52" t="s">
        <v>73</v>
      </c>
      <c r="D47" s="28" t="s">
        <v>74</v>
      </c>
      <c r="E47" s="29" t="s">
        <v>26</v>
      </c>
      <c r="F47" s="38"/>
      <c r="G47" s="39">
        <f>550332</f>
        <v>550332</v>
      </c>
      <c r="H47" s="38">
        <f t="shared" si="1"/>
        <v>861117744</v>
      </c>
      <c r="I47" s="57" t="s">
        <v>85</v>
      </c>
      <c r="J47" s="11"/>
    </row>
    <row r="48" spans="1:10" ht="15.75" customHeight="1">
      <c r="A48" s="47">
        <v>44447</v>
      </c>
      <c r="B48" s="37" t="s">
        <v>72</v>
      </c>
      <c r="C48" s="52" t="s">
        <v>86</v>
      </c>
      <c r="D48" s="28" t="s">
        <v>87</v>
      </c>
      <c r="E48" s="29" t="s">
        <v>26</v>
      </c>
      <c r="F48" s="38"/>
      <c r="G48" s="39">
        <f>570928</f>
        <v>570928</v>
      </c>
      <c r="H48" s="38">
        <f t="shared" si="1"/>
        <v>860546816</v>
      </c>
      <c r="I48" s="57" t="s">
        <v>75</v>
      </c>
      <c r="J48" s="11"/>
    </row>
    <row r="49" spans="1:10" ht="15.75" customHeight="1">
      <c r="A49" s="47">
        <v>44447</v>
      </c>
      <c r="B49" s="37" t="s">
        <v>76</v>
      </c>
      <c r="C49" s="52" t="s">
        <v>86</v>
      </c>
      <c r="D49" s="28" t="s">
        <v>87</v>
      </c>
      <c r="E49" s="29" t="s">
        <v>26</v>
      </c>
      <c r="F49" s="38"/>
      <c r="G49" s="39">
        <f>971105</f>
        <v>971105</v>
      </c>
      <c r="H49" s="38">
        <f t="shared" si="1"/>
        <v>859575711</v>
      </c>
      <c r="I49" s="57" t="s">
        <v>77</v>
      </c>
      <c r="J49" s="11"/>
    </row>
    <row r="50" spans="1:10" ht="15.75" customHeight="1">
      <c r="A50" s="47">
        <v>44447</v>
      </c>
      <c r="B50" s="40" t="s">
        <v>78</v>
      </c>
      <c r="C50" s="52" t="s">
        <v>86</v>
      </c>
      <c r="D50" s="28" t="s">
        <v>87</v>
      </c>
      <c r="E50" s="29" t="s">
        <v>26</v>
      </c>
      <c r="F50" s="38"/>
      <c r="G50" s="39">
        <f>998281</f>
        <v>998281</v>
      </c>
      <c r="H50" s="38">
        <f t="shared" si="1"/>
        <v>858577430</v>
      </c>
      <c r="I50" s="41" t="s">
        <v>79</v>
      </c>
      <c r="J50" s="11"/>
    </row>
    <row r="51" spans="1:10" ht="15.75" customHeight="1">
      <c r="A51" s="47">
        <v>44447</v>
      </c>
      <c r="B51" s="37" t="s">
        <v>80</v>
      </c>
      <c r="C51" s="52" t="s">
        <v>86</v>
      </c>
      <c r="D51" s="28" t="s">
        <v>87</v>
      </c>
      <c r="E51" s="29" t="s">
        <v>26</v>
      </c>
      <c r="F51" s="38"/>
      <c r="G51" s="39">
        <f>365255</f>
        <v>365255</v>
      </c>
      <c r="H51" s="38">
        <f t="shared" si="1"/>
        <v>858212175</v>
      </c>
      <c r="I51" s="57" t="s">
        <v>81</v>
      </c>
      <c r="J51" s="11"/>
    </row>
    <row r="52" spans="1:10" ht="15.75" customHeight="1">
      <c r="A52" s="47">
        <v>44447</v>
      </c>
      <c r="B52" s="58" t="s">
        <v>82</v>
      </c>
      <c r="C52" s="52" t="s">
        <v>86</v>
      </c>
      <c r="D52" s="28" t="s">
        <v>87</v>
      </c>
      <c r="E52" s="29" t="s">
        <v>26</v>
      </c>
      <c r="F52" s="38"/>
      <c r="G52" s="39">
        <f>1213422</f>
        <v>1213422</v>
      </c>
      <c r="H52" s="38">
        <f t="shared" si="1"/>
        <v>856998753</v>
      </c>
      <c r="I52" s="41" t="s">
        <v>83</v>
      </c>
      <c r="J52" s="11"/>
    </row>
    <row r="53" spans="1:10" ht="15.75" customHeight="1">
      <c r="A53" s="47">
        <v>44447</v>
      </c>
      <c r="B53" s="37" t="s">
        <v>84</v>
      </c>
      <c r="C53" s="52" t="s">
        <v>86</v>
      </c>
      <c r="D53" s="28" t="s">
        <v>87</v>
      </c>
      <c r="E53" s="29" t="s">
        <v>26</v>
      </c>
      <c r="F53" s="38"/>
      <c r="G53" s="39">
        <f>550332</f>
        <v>550332</v>
      </c>
      <c r="H53" s="38">
        <f t="shared" si="1"/>
        <v>856448421</v>
      </c>
      <c r="I53" s="57" t="s">
        <v>85</v>
      </c>
      <c r="J53" s="11"/>
    </row>
    <row r="54" spans="1:10" ht="15.75" customHeight="1">
      <c r="A54" s="47">
        <v>44447</v>
      </c>
      <c r="B54" s="37" t="s">
        <v>88</v>
      </c>
      <c r="C54" s="52" t="s">
        <v>89</v>
      </c>
      <c r="D54" s="28" t="s">
        <v>90</v>
      </c>
      <c r="E54" s="29" t="s">
        <v>26</v>
      </c>
      <c r="F54" s="38"/>
      <c r="G54" s="39">
        <f t="shared" ref="G54:G55" si="6">2393828</f>
        <v>2393828</v>
      </c>
      <c r="H54" s="38">
        <f t="shared" si="1"/>
        <v>854054593</v>
      </c>
      <c r="I54" s="57" t="s">
        <v>91</v>
      </c>
      <c r="J54" s="11"/>
    </row>
    <row r="55" spans="1:10" ht="15.75" customHeight="1">
      <c r="A55" s="47">
        <v>44447</v>
      </c>
      <c r="B55" s="37" t="s">
        <v>88</v>
      </c>
      <c r="C55" s="52" t="s">
        <v>92</v>
      </c>
      <c r="D55" s="28" t="s">
        <v>93</v>
      </c>
      <c r="E55" s="29" t="s">
        <v>26</v>
      </c>
      <c r="F55" s="38"/>
      <c r="G55" s="39">
        <f t="shared" si="6"/>
        <v>2393828</v>
      </c>
      <c r="H55" s="38">
        <f t="shared" si="1"/>
        <v>851660765</v>
      </c>
      <c r="I55" s="57" t="s">
        <v>91</v>
      </c>
      <c r="J55" s="11"/>
    </row>
    <row r="56" spans="1:10" ht="15.75" customHeight="1">
      <c r="A56" s="47">
        <v>44447</v>
      </c>
      <c r="B56" s="37" t="s">
        <v>72</v>
      </c>
      <c r="C56" s="52" t="s">
        <v>94</v>
      </c>
      <c r="D56" s="28" t="s">
        <v>95</v>
      </c>
      <c r="E56" s="29" t="s">
        <v>26</v>
      </c>
      <c r="F56" s="38"/>
      <c r="G56" s="39">
        <f>570928</f>
        <v>570928</v>
      </c>
      <c r="H56" s="38">
        <f t="shared" si="1"/>
        <v>851089837</v>
      </c>
      <c r="I56" s="57" t="s">
        <v>75</v>
      </c>
      <c r="J56" s="11"/>
    </row>
    <row r="57" spans="1:10" ht="15.75" customHeight="1">
      <c r="A57" s="47">
        <v>44447</v>
      </c>
      <c r="B57" s="37" t="s">
        <v>76</v>
      </c>
      <c r="C57" s="52" t="s">
        <v>94</v>
      </c>
      <c r="D57" s="28" t="s">
        <v>95</v>
      </c>
      <c r="E57" s="29" t="s">
        <v>26</v>
      </c>
      <c r="F57" s="38"/>
      <c r="G57" s="39">
        <f>971105</f>
        <v>971105</v>
      </c>
      <c r="H57" s="38">
        <f t="shared" si="1"/>
        <v>850118732</v>
      </c>
      <c r="I57" s="57" t="s">
        <v>77</v>
      </c>
      <c r="J57" s="11"/>
    </row>
    <row r="58" spans="1:10" ht="15.75" customHeight="1">
      <c r="A58" s="47">
        <v>44447</v>
      </c>
      <c r="B58" s="40" t="s">
        <v>78</v>
      </c>
      <c r="C58" s="52" t="s">
        <v>94</v>
      </c>
      <c r="D58" s="28" t="s">
        <v>95</v>
      </c>
      <c r="E58" s="29" t="s">
        <v>26</v>
      </c>
      <c r="F58" s="38"/>
      <c r="G58" s="39">
        <f>998281</f>
        <v>998281</v>
      </c>
      <c r="H58" s="38">
        <f t="shared" si="1"/>
        <v>849120451</v>
      </c>
      <c r="I58" s="41" t="s">
        <v>79</v>
      </c>
      <c r="J58" s="11"/>
    </row>
    <row r="59" spans="1:10" ht="15.75" customHeight="1">
      <c r="A59" s="47">
        <v>44447</v>
      </c>
      <c r="B59" s="37" t="s">
        <v>80</v>
      </c>
      <c r="C59" s="52" t="s">
        <v>94</v>
      </c>
      <c r="D59" s="28" t="s">
        <v>95</v>
      </c>
      <c r="E59" s="29" t="s">
        <v>26</v>
      </c>
      <c r="F59" s="38"/>
      <c r="G59" s="39">
        <f>365255</f>
        <v>365255</v>
      </c>
      <c r="H59" s="38">
        <f t="shared" si="1"/>
        <v>848755196</v>
      </c>
      <c r="I59" s="57" t="s">
        <v>81</v>
      </c>
      <c r="J59" s="11"/>
    </row>
    <row r="60" spans="1:10" ht="15.75" customHeight="1">
      <c r="A60" s="47">
        <v>44447</v>
      </c>
      <c r="B60" s="58" t="s">
        <v>82</v>
      </c>
      <c r="C60" s="52" t="s">
        <v>94</v>
      </c>
      <c r="D60" s="28" t="s">
        <v>95</v>
      </c>
      <c r="E60" s="29" t="s">
        <v>26</v>
      </c>
      <c r="F60" s="38"/>
      <c r="G60" s="39">
        <f>1213422</f>
        <v>1213422</v>
      </c>
      <c r="H60" s="38">
        <f t="shared" si="1"/>
        <v>847541774</v>
      </c>
      <c r="I60" s="41" t="s">
        <v>83</v>
      </c>
      <c r="J60" s="11"/>
    </row>
    <row r="61" spans="1:10" ht="15.75" customHeight="1">
      <c r="A61" s="47">
        <v>44447</v>
      </c>
      <c r="B61" s="37" t="s">
        <v>84</v>
      </c>
      <c r="C61" s="52" t="s">
        <v>94</v>
      </c>
      <c r="D61" s="28" t="s">
        <v>95</v>
      </c>
      <c r="E61" s="29" t="s">
        <v>26</v>
      </c>
      <c r="F61" s="38"/>
      <c r="G61" s="39">
        <f>550332</f>
        <v>550332</v>
      </c>
      <c r="H61" s="38">
        <f t="shared" si="1"/>
        <v>846991442</v>
      </c>
      <c r="I61" s="57" t="s">
        <v>85</v>
      </c>
      <c r="J61" s="11"/>
    </row>
    <row r="62" spans="1:10" ht="15.75" customHeight="1">
      <c r="A62" s="47">
        <v>44447</v>
      </c>
      <c r="B62" s="37" t="s">
        <v>88</v>
      </c>
      <c r="C62" s="52" t="s">
        <v>96</v>
      </c>
      <c r="D62" s="28" t="s">
        <v>97</v>
      </c>
      <c r="E62" s="29" t="s">
        <v>26</v>
      </c>
      <c r="F62" s="38"/>
      <c r="G62" s="39">
        <f>2393828</f>
        <v>2393828</v>
      </c>
      <c r="H62" s="38">
        <f t="shared" si="1"/>
        <v>844597614</v>
      </c>
      <c r="I62" s="57" t="s">
        <v>91</v>
      </c>
      <c r="J62" s="11"/>
    </row>
    <row r="63" spans="1:10" ht="15.75" customHeight="1">
      <c r="A63" s="47">
        <v>44452</v>
      </c>
      <c r="B63" s="51" t="s">
        <v>59</v>
      </c>
      <c r="C63" s="52" t="s">
        <v>98</v>
      </c>
      <c r="D63" s="28" t="s">
        <v>99</v>
      </c>
      <c r="E63" s="42">
        <v>9678895</v>
      </c>
      <c r="F63" s="38"/>
      <c r="G63" s="39">
        <f>51125</f>
        <v>51125</v>
      </c>
      <c r="H63" s="38">
        <f t="shared" si="1"/>
        <v>844546489</v>
      </c>
      <c r="I63" s="41" t="s">
        <v>100</v>
      </c>
      <c r="J63" s="11"/>
    </row>
    <row r="64" spans="1:10" ht="15.75" customHeight="1">
      <c r="A64" s="47">
        <v>44459</v>
      </c>
      <c r="B64" s="37" t="s">
        <v>101</v>
      </c>
      <c r="C64" s="52" t="s">
        <v>102</v>
      </c>
      <c r="D64" s="28" t="s">
        <v>103</v>
      </c>
      <c r="E64" s="42">
        <v>9678896</v>
      </c>
      <c r="F64" s="38"/>
      <c r="G64" s="39">
        <f>2070561</f>
        <v>2070561</v>
      </c>
      <c r="H64" s="38">
        <f t="shared" si="1"/>
        <v>842475928</v>
      </c>
      <c r="I64" s="41" t="s">
        <v>104</v>
      </c>
      <c r="J64" s="11"/>
    </row>
    <row r="65" spans="1:10" ht="15.75" customHeight="1">
      <c r="A65" s="47">
        <v>44459</v>
      </c>
      <c r="B65" s="37" t="s">
        <v>105</v>
      </c>
      <c r="C65" s="45" t="s">
        <v>106</v>
      </c>
      <c r="D65" s="28" t="s">
        <v>107</v>
      </c>
      <c r="E65" s="29" t="s">
        <v>26</v>
      </c>
      <c r="F65" s="38"/>
      <c r="G65" s="39">
        <f>360000</f>
        <v>360000</v>
      </c>
      <c r="H65" s="38">
        <f t="shared" si="1"/>
        <v>842115928</v>
      </c>
      <c r="I65" s="44" t="s">
        <v>108</v>
      </c>
      <c r="J65" s="11"/>
    </row>
    <row r="66" spans="1:10" ht="15.75" customHeight="1">
      <c r="A66" s="47">
        <v>44459</v>
      </c>
      <c r="B66" s="37" t="s">
        <v>16</v>
      </c>
      <c r="C66" s="45" t="s">
        <v>109</v>
      </c>
      <c r="D66" s="28" t="s">
        <v>110</v>
      </c>
      <c r="E66" s="29" t="s">
        <v>19</v>
      </c>
      <c r="F66" s="38"/>
      <c r="G66" s="39">
        <f>54280</f>
        <v>54280</v>
      </c>
      <c r="H66" s="38">
        <f t="shared" si="1"/>
        <v>842061648</v>
      </c>
      <c r="I66" s="20" t="s">
        <v>20</v>
      </c>
      <c r="J66" s="11"/>
    </row>
    <row r="67" spans="1:10" ht="15.75" customHeight="1">
      <c r="A67" s="47">
        <v>44460</v>
      </c>
      <c r="B67" s="37" t="s">
        <v>111</v>
      </c>
      <c r="C67" s="59" t="s">
        <v>112</v>
      </c>
      <c r="D67" s="28" t="s">
        <v>113</v>
      </c>
      <c r="E67" s="29" t="s">
        <v>26</v>
      </c>
      <c r="F67" s="38"/>
      <c r="G67" s="39">
        <f t="shared" ref="G67:G68" si="7">690000</f>
        <v>690000</v>
      </c>
      <c r="H67" s="38">
        <f t="shared" si="1"/>
        <v>841371648</v>
      </c>
      <c r="I67" s="36" t="s">
        <v>34</v>
      </c>
      <c r="J67" s="11"/>
    </row>
    <row r="68" spans="1:10" ht="15.75" customHeight="1">
      <c r="A68" s="47">
        <v>44460</v>
      </c>
      <c r="B68" s="37" t="s">
        <v>111</v>
      </c>
      <c r="C68" s="59" t="s">
        <v>114</v>
      </c>
      <c r="D68" s="28" t="s">
        <v>115</v>
      </c>
      <c r="E68" s="29" t="s">
        <v>26</v>
      </c>
      <c r="F68" s="38"/>
      <c r="G68" s="39">
        <f t="shared" si="7"/>
        <v>690000</v>
      </c>
      <c r="H68" s="38">
        <f t="shared" si="1"/>
        <v>840681648</v>
      </c>
      <c r="I68" s="36" t="s">
        <v>34</v>
      </c>
      <c r="J68" s="11"/>
    </row>
    <row r="69" spans="1:10" ht="15.75" customHeight="1">
      <c r="A69" s="47">
        <v>44460</v>
      </c>
      <c r="B69" s="37" t="s">
        <v>111</v>
      </c>
      <c r="C69" s="59" t="s">
        <v>116</v>
      </c>
      <c r="D69" s="28" t="s">
        <v>117</v>
      </c>
      <c r="E69" s="29" t="s">
        <v>26</v>
      </c>
      <c r="F69" s="38"/>
      <c r="G69" s="39">
        <v>690000</v>
      </c>
      <c r="H69" s="38">
        <f t="shared" si="1"/>
        <v>839991648</v>
      </c>
      <c r="I69" s="41" t="s">
        <v>41</v>
      </c>
      <c r="J69" s="11"/>
    </row>
    <row r="70" spans="1:10" ht="15.75" customHeight="1">
      <c r="A70" s="47">
        <v>44460</v>
      </c>
      <c r="B70" s="37" t="s">
        <v>111</v>
      </c>
      <c r="C70" s="59" t="s">
        <v>118</v>
      </c>
      <c r="D70" s="28" t="s">
        <v>119</v>
      </c>
      <c r="E70" s="29" t="s">
        <v>26</v>
      </c>
      <c r="F70" s="38"/>
      <c r="G70" s="39">
        <f>690000</f>
        <v>690000</v>
      </c>
      <c r="H70" s="38">
        <f t="shared" si="1"/>
        <v>839301648</v>
      </c>
      <c r="I70" s="41" t="s">
        <v>45</v>
      </c>
      <c r="J70" s="11"/>
    </row>
    <row r="71" spans="1:10" ht="24" customHeight="1">
      <c r="A71" s="47">
        <v>44460</v>
      </c>
      <c r="B71" s="37" t="s">
        <v>111</v>
      </c>
      <c r="C71" s="59" t="s">
        <v>120</v>
      </c>
      <c r="D71" s="28" t="s">
        <v>121</v>
      </c>
      <c r="E71" s="29" t="s">
        <v>26</v>
      </c>
      <c r="F71" s="38"/>
      <c r="G71" s="39">
        <f>920000</f>
        <v>920000</v>
      </c>
      <c r="H71" s="38">
        <f t="shared" si="1"/>
        <v>838381648</v>
      </c>
      <c r="I71" s="57" t="s">
        <v>91</v>
      </c>
      <c r="J71" s="11"/>
    </row>
    <row r="72" spans="1:10" ht="15.75" customHeight="1">
      <c r="A72" s="47">
        <v>44460</v>
      </c>
      <c r="B72" s="37" t="s">
        <v>122</v>
      </c>
      <c r="C72" s="59" t="s">
        <v>123</v>
      </c>
      <c r="D72" s="28" t="s">
        <v>124</v>
      </c>
      <c r="E72" s="29" t="s">
        <v>26</v>
      </c>
      <c r="F72" s="38"/>
      <c r="G72" s="39">
        <f t="shared" ref="G72:G73" si="8">230000</f>
        <v>230000</v>
      </c>
      <c r="H72" s="38">
        <f t="shared" si="1"/>
        <v>838151648</v>
      </c>
      <c r="I72" s="41" t="s">
        <v>61</v>
      </c>
      <c r="J72" s="11"/>
    </row>
    <row r="73" spans="1:10" ht="15.75" customHeight="1">
      <c r="A73" s="47">
        <v>44460</v>
      </c>
      <c r="B73" s="37" t="s">
        <v>122</v>
      </c>
      <c r="C73" s="59" t="s">
        <v>125</v>
      </c>
      <c r="D73" s="28" t="s">
        <v>126</v>
      </c>
      <c r="E73" s="29" t="s">
        <v>26</v>
      </c>
      <c r="F73" s="38"/>
      <c r="G73" s="39">
        <f t="shared" si="8"/>
        <v>230000</v>
      </c>
      <c r="H73" s="38">
        <f t="shared" si="1"/>
        <v>837921648</v>
      </c>
      <c r="I73" s="41" t="s">
        <v>61</v>
      </c>
      <c r="J73" s="11"/>
    </row>
    <row r="74" spans="1:10" ht="15.75" customHeight="1">
      <c r="A74" s="47">
        <v>44460</v>
      </c>
      <c r="B74" s="37" t="s">
        <v>16</v>
      </c>
      <c r="C74" s="45" t="s">
        <v>127</v>
      </c>
      <c r="D74" s="28" t="s">
        <v>128</v>
      </c>
      <c r="E74" s="29" t="s">
        <v>19</v>
      </c>
      <c r="F74" s="38"/>
      <c r="G74" s="39">
        <f t="shared" ref="G74:G75" si="9">5900</f>
        <v>5900</v>
      </c>
      <c r="H74" s="38">
        <f t="shared" si="1"/>
        <v>837915748</v>
      </c>
      <c r="I74" s="20" t="s">
        <v>20</v>
      </c>
      <c r="J74" s="11"/>
    </row>
    <row r="75" spans="1:10" ht="15.75" customHeight="1">
      <c r="A75" s="47">
        <v>44460</v>
      </c>
      <c r="B75" s="37" t="s">
        <v>16</v>
      </c>
      <c r="C75" s="45" t="s">
        <v>129</v>
      </c>
      <c r="D75" s="28" t="s">
        <v>130</v>
      </c>
      <c r="E75" s="29" t="s">
        <v>19</v>
      </c>
      <c r="F75" s="38"/>
      <c r="G75" s="39">
        <f t="shared" si="9"/>
        <v>5900</v>
      </c>
      <c r="H75" s="38">
        <f t="shared" si="1"/>
        <v>837909848</v>
      </c>
      <c r="I75" s="20" t="s">
        <v>20</v>
      </c>
      <c r="J75" s="11"/>
    </row>
    <row r="76" spans="1:10" ht="15.75" customHeight="1">
      <c r="A76" s="47">
        <v>44460</v>
      </c>
      <c r="B76" s="37" t="s">
        <v>35</v>
      </c>
      <c r="C76" s="49" t="s">
        <v>131</v>
      </c>
      <c r="D76" s="28" t="s">
        <v>132</v>
      </c>
      <c r="E76" s="50" t="s">
        <v>26</v>
      </c>
      <c r="F76" s="38"/>
      <c r="G76" s="39">
        <f t="shared" ref="G76:G78" si="10">2737241</f>
        <v>2737241</v>
      </c>
      <c r="H76" s="38">
        <f t="shared" si="1"/>
        <v>835172607</v>
      </c>
      <c r="I76" s="36" t="s">
        <v>34</v>
      </c>
      <c r="J76" s="11"/>
    </row>
    <row r="77" spans="1:10" ht="15.75" customHeight="1">
      <c r="A77" s="47">
        <v>44460</v>
      </c>
      <c r="B77" s="40" t="s">
        <v>38</v>
      </c>
      <c r="C77" s="49" t="s">
        <v>131</v>
      </c>
      <c r="D77" s="28" t="s">
        <v>132</v>
      </c>
      <c r="E77" s="50" t="s">
        <v>26</v>
      </c>
      <c r="F77" s="38"/>
      <c r="G77" s="39">
        <f t="shared" si="10"/>
        <v>2737241</v>
      </c>
      <c r="H77" s="38">
        <f t="shared" si="1"/>
        <v>832435366</v>
      </c>
      <c r="I77" s="41" t="s">
        <v>41</v>
      </c>
      <c r="J77" s="11"/>
    </row>
    <row r="78" spans="1:10" ht="15.75" customHeight="1">
      <c r="A78" s="47">
        <v>44460</v>
      </c>
      <c r="B78" s="48" t="s">
        <v>31</v>
      </c>
      <c r="C78" s="49" t="s">
        <v>131</v>
      </c>
      <c r="D78" s="28" t="s">
        <v>132</v>
      </c>
      <c r="E78" s="50" t="s">
        <v>26</v>
      </c>
      <c r="F78" s="38"/>
      <c r="G78" s="39">
        <f t="shared" si="10"/>
        <v>2737241</v>
      </c>
      <c r="H78" s="38">
        <f t="shared" si="1"/>
        <v>829698125</v>
      </c>
      <c r="I78" s="36" t="s">
        <v>34</v>
      </c>
      <c r="J78" s="11"/>
    </row>
    <row r="79" spans="1:10" ht="15.75" customHeight="1">
      <c r="A79" s="47">
        <v>44460</v>
      </c>
      <c r="B79" s="37" t="s">
        <v>42</v>
      </c>
      <c r="C79" s="49" t="s">
        <v>131</v>
      </c>
      <c r="D79" s="28" t="s">
        <v>132</v>
      </c>
      <c r="E79" s="50" t="s">
        <v>26</v>
      </c>
      <c r="F79" s="38"/>
      <c r="G79" s="39">
        <f>1737871</f>
        <v>1737871</v>
      </c>
      <c r="H79" s="38">
        <f t="shared" si="1"/>
        <v>827960254</v>
      </c>
      <c r="I79" s="41" t="s">
        <v>45</v>
      </c>
      <c r="J79" s="11"/>
    </row>
    <row r="80" spans="1:10" ht="15.75" customHeight="1">
      <c r="A80" s="47">
        <v>44460</v>
      </c>
      <c r="B80" s="51" t="s">
        <v>59</v>
      </c>
      <c r="C80" s="49" t="s">
        <v>131</v>
      </c>
      <c r="D80" s="28" t="s">
        <v>132</v>
      </c>
      <c r="E80" s="50" t="s">
        <v>26</v>
      </c>
      <c r="F80" s="38"/>
      <c r="G80" s="39">
        <f>3555757</f>
        <v>3555757</v>
      </c>
      <c r="H80" s="38">
        <f t="shared" si="1"/>
        <v>824404497</v>
      </c>
      <c r="I80" s="41" t="s">
        <v>61</v>
      </c>
      <c r="J80" s="11"/>
    </row>
    <row r="81" spans="1:10" ht="15.75" customHeight="1">
      <c r="A81" s="47">
        <v>44460</v>
      </c>
      <c r="B81" s="37" t="s">
        <v>72</v>
      </c>
      <c r="C81" s="52" t="s">
        <v>133</v>
      </c>
      <c r="D81" s="28" t="s">
        <v>134</v>
      </c>
      <c r="E81" s="29" t="s">
        <v>26</v>
      </c>
      <c r="F81" s="38"/>
      <c r="G81" s="39">
        <f>570928</f>
        <v>570928</v>
      </c>
      <c r="H81" s="38">
        <f t="shared" si="1"/>
        <v>823833569</v>
      </c>
      <c r="I81" s="57" t="s">
        <v>75</v>
      </c>
      <c r="J81" s="11"/>
    </row>
    <row r="82" spans="1:10" ht="15.75" customHeight="1">
      <c r="A82" s="47">
        <v>44460</v>
      </c>
      <c r="B82" s="37" t="s">
        <v>76</v>
      </c>
      <c r="C82" s="52" t="s">
        <v>133</v>
      </c>
      <c r="D82" s="28" t="s">
        <v>134</v>
      </c>
      <c r="E82" s="29" t="s">
        <v>26</v>
      </c>
      <c r="F82" s="38"/>
      <c r="G82" s="39">
        <f>971105</f>
        <v>971105</v>
      </c>
      <c r="H82" s="38">
        <f t="shared" si="1"/>
        <v>822862464</v>
      </c>
      <c r="I82" s="57" t="s">
        <v>77</v>
      </c>
      <c r="J82" s="11"/>
    </row>
    <row r="83" spans="1:10" ht="15.75" customHeight="1">
      <c r="A83" s="47">
        <v>44460</v>
      </c>
      <c r="B83" s="40" t="s">
        <v>78</v>
      </c>
      <c r="C83" s="52" t="s">
        <v>133</v>
      </c>
      <c r="D83" s="28" t="s">
        <v>134</v>
      </c>
      <c r="E83" s="29" t="s">
        <v>26</v>
      </c>
      <c r="F83" s="38"/>
      <c r="G83" s="39">
        <f>998281</f>
        <v>998281</v>
      </c>
      <c r="H83" s="38">
        <f t="shared" si="1"/>
        <v>821864183</v>
      </c>
      <c r="I83" s="41" t="s">
        <v>79</v>
      </c>
      <c r="J83" s="11"/>
    </row>
    <row r="84" spans="1:10" ht="15.75" customHeight="1">
      <c r="A84" s="47">
        <v>44460</v>
      </c>
      <c r="B84" s="37" t="s">
        <v>80</v>
      </c>
      <c r="C84" s="52" t="s">
        <v>133</v>
      </c>
      <c r="D84" s="28" t="s">
        <v>134</v>
      </c>
      <c r="E84" s="29" t="s">
        <v>26</v>
      </c>
      <c r="F84" s="38"/>
      <c r="G84" s="39">
        <f>365255</f>
        <v>365255</v>
      </c>
      <c r="H84" s="38">
        <f t="shared" si="1"/>
        <v>821498928</v>
      </c>
      <c r="I84" s="57" t="s">
        <v>81</v>
      </c>
      <c r="J84" s="11"/>
    </row>
    <row r="85" spans="1:10" ht="15.75" customHeight="1">
      <c r="A85" s="47">
        <v>44460</v>
      </c>
      <c r="B85" s="58" t="s">
        <v>82</v>
      </c>
      <c r="C85" s="52" t="s">
        <v>133</v>
      </c>
      <c r="D85" s="28" t="s">
        <v>134</v>
      </c>
      <c r="E85" s="29" t="s">
        <v>26</v>
      </c>
      <c r="F85" s="38"/>
      <c r="G85" s="39">
        <f>1213422</f>
        <v>1213422</v>
      </c>
      <c r="H85" s="38">
        <f t="shared" si="1"/>
        <v>820285506</v>
      </c>
      <c r="I85" s="41" t="s">
        <v>83</v>
      </c>
      <c r="J85" s="11"/>
    </row>
    <row r="86" spans="1:10" ht="15.75" customHeight="1">
      <c r="A86" s="47">
        <v>44460</v>
      </c>
      <c r="B86" s="37" t="s">
        <v>84</v>
      </c>
      <c r="C86" s="52" t="s">
        <v>133</v>
      </c>
      <c r="D86" s="28" t="s">
        <v>134</v>
      </c>
      <c r="E86" s="29" t="s">
        <v>26</v>
      </c>
      <c r="F86" s="38"/>
      <c r="G86" s="39">
        <f>550332</f>
        <v>550332</v>
      </c>
      <c r="H86" s="38">
        <f t="shared" si="1"/>
        <v>819735174</v>
      </c>
      <c r="I86" s="57" t="s">
        <v>85</v>
      </c>
      <c r="J86" s="11"/>
    </row>
    <row r="87" spans="1:10" ht="15.75" customHeight="1">
      <c r="A87" s="47">
        <v>44460</v>
      </c>
      <c r="B87" s="37" t="s">
        <v>88</v>
      </c>
      <c r="C87" s="52" t="s">
        <v>135</v>
      </c>
      <c r="D87" s="28" t="s">
        <v>136</v>
      </c>
      <c r="E87" s="29" t="s">
        <v>26</v>
      </c>
      <c r="F87" s="38"/>
      <c r="G87" s="39">
        <f>2393828</f>
        <v>2393828</v>
      </c>
      <c r="H87" s="38">
        <f t="shared" si="1"/>
        <v>817341346</v>
      </c>
      <c r="I87" s="57" t="s">
        <v>91</v>
      </c>
      <c r="J87" s="11"/>
    </row>
    <row r="88" spans="1:10" ht="15.75" customHeight="1">
      <c r="A88" s="47">
        <v>44468</v>
      </c>
      <c r="B88" s="37" t="s">
        <v>137</v>
      </c>
      <c r="C88" s="45" t="s">
        <v>138</v>
      </c>
      <c r="D88" s="28" t="s">
        <v>139</v>
      </c>
      <c r="E88" s="42">
        <v>9678897</v>
      </c>
      <c r="F88" s="38"/>
      <c r="G88" s="39">
        <f>1279184</f>
        <v>1279184</v>
      </c>
      <c r="H88" s="38">
        <f t="shared" si="1"/>
        <v>816062162</v>
      </c>
      <c r="I88" s="60" t="s">
        <v>140</v>
      </c>
      <c r="J88" s="11"/>
    </row>
    <row r="89" spans="1:10" ht="15.75" customHeight="1">
      <c r="A89" s="47">
        <v>44469</v>
      </c>
      <c r="B89" s="52" t="s">
        <v>16</v>
      </c>
      <c r="C89" s="22" t="s">
        <v>141</v>
      </c>
      <c r="D89" s="28" t="s">
        <v>142</v>
      </c>
      <c r="E89" s="24" t="s">
        <v>19</v>
      </c>
      <c r="F89" s="18"/>
      <c r="G89" s="32">
        <f>6000+1080</f>
        <v>7080</v>
      </c>
      <c r="H89" s="38">
        <f t="shared" si="1"/>
        <v>816055082</v>
      </c>
      <c r="I89" s="20" t="s">
        <v>20</v>
      </c>
      <c r="J89" s="46"/>
    </row>
    <row r="90" spans="1:10" ht="15.75" customHeight="1">
      <c r="A90" s="61"/>
      <c r="B90" s="62"/>
      <c r="C90" s="63"/>
      <c r="D90" s="64"/>
      <c r="E90" s="65"/>
      <c r="F90" s="66"/>
      <c r="G90" s="67"/>
      <c r="H90" s="66"/>
      <c r="I90" s="68"/>
      <c r="J90" s="11"/>
    </row>
    <row r="91" spans="1:10" ht="15.75" customHeight="1">
      <c r="A91" s="69"/>
      <c r="B91" s="70" t="s">
        <v>143</v>
      </c>
      <c r="C91" s="71"/>
      <c r="D91" s="72"/>
      <c r="E91" s="73"/>
      <c r="F91" s="74">
        <f t="shared" ref="F91:G91" si="11">SUM(F12:F89)</f>
        <v>887126329</v>
      </c>
      <c r="G91" s="74">
        <f t="shared" si="11"/>
        <v>71071247</v>
      </c>
      <c r="H91" s="74">
        <f>H89</f>
        <v>816055082</v>
      </c>
      <c r="I91" s="72"/>
      <c r="J91" s="11"/>
    </row>
    <row r="92" spans="1:10" ht="15.75" customHeight="1">
      <c r="A92" s="69"/>
      <c r="B92" s="70" t="s">
        <v>144</v>
      </c>
      <c r="C92" s="71"/>
      <c r="D92" s="72"/>
      <c r="E92" s="73"/>
      <c r="F92" s="74">
        <f t="shared" ref="F92:H92" si="12">F91/655.957</f>
        <v>1352415.370214816</v>
      </c>
      <c r="G92" s="74">
        <f t="shared" si="12"/>
        <v>108347.41758987251</v>
      </c>
      <c r="H92" s="74">
        <f t="shared" si="12"/>
        <v>1244067.9526249433</v>
      </c>
      <c r="I92" s="72"/>
      <c r="J92" s="11"/>
    </row>
    <row r="93" spans="1:10" ht="15.75" customHeight="1">
      <c r="A93" s="931"/>
      <c r="B93" s="932"/>
      <c r="C93" s="932"/>
      <c r="D93" s="932"/>
      <c r="E93" s="932"/>
      <c r="F93" s="932"/>
      <c r="G93" s="932"/>
      <c r="H93" s="932"/>
      <c r="I93" s="933"/>
      <c r="J93" s="11"/>
    </row>
    <row r="94" spans="1:10" ht="15.75" customHeight="1">
      <c r="A94" s="75" t="s">
        <v>145</v>
      </c>
      <c r="B94" s="76"/>
      <c r="C94" s="934"/>
      <c r="D94" s="935"/>
      <c r="E94" s="935"/>
      <c r="F94" s="935"/>
      <c r="G94" s="936" t="s">
        <v>146</v>
      </c>
      <c r="H94" s="935"/>
      <c r="I94" s="937"/>
      <c r="J94" s="11"/>
    </row>
    <row r="95" spans="1:10" ht="15.75" customHeight="1">
      <c r="A95" s="950"/>
      <c r="B95" s="939"/>
      <c r="C95" s="939"/>
      <c r="D95" s="939"/>
      <c r="E95" s="939"/>
      <c r="F95" s="939"/>
      <c r="G95" s="939"/>
      <c r="H95" s="939"/>
      <c r="I95" s="940"/>
      <c r="J95" s="11"/>
    </row>
    <row r="96" spans="1:10" ht="15.75" customHeight="1">
      <c r="A96" s="941"/>
      <c r="B96" s="942"/>
      <c r="C96" s="942"/>
      <c r="D96" s="942"/>
      <c r="E96" s="942"/>
      <c r="F96" s="942"/>
      <c r="G96" s="942"/>
      <c r="H96" s="942"/>
      <c r="I96" s="943"/>
      <c r="J96" s="11"/>
    </row>
    <row r="97" spans="1:10" ht="15.75" customHeight="1">
      <c r="A97" s="941"/>
      <c r="B97" s="942"/>
      <c r="C97" s="942"/>
      <c r="D97" s="942"/>
      <c r="E97" s="942"/>
      <c r="F97" s="942"/>
      <c r="G97" s="942"/>
      <c r="H97" s="942"/>
      <c r="I97" s="943"/>
      <c r="J97" s="11"/>
    </row>
    <row r="98" spans="1:10" ht="15.75" customHeight="1">
      <c r="A98" s="956" t="s">
        <v>147</v>
      </c>
      <c r="B98" s="945"/>
      <c r="C98" s="945"/>
      <c r="D98" s="945"/>
      <c r="E98" s="945"/>
      <c r="F98" s="945"/>
      <c r="G98" s="945"/>
      <c r="H98" s="945"/>
      <c r="I98" s="946"/>
      <c r="J98" s="11"/>
    </row>
    <row r="99" spans="1:10" ht="15.75" customHeight="1">
      <c r="A99" s="938"/>
      <c r="B99" s="939"/>
      <c r="C99" s="939"/>
      <c r="D99" s="939"/>
      <c r="E99" s="939"/>
      <c r="F99" s="939"/>
      <c r="G99" s="939"/>
      <c r="H99" s="939"/>
      <c r="I99" s="940"/>
      <c r="J99" s="11"/>
    </row>
    <row r="100" spans="1:10" ht="15.75" customHeight="1">
      <c r="A100" s="941"/>
      <c r="B100" s="942"/>
      <c r="C100" s="942"/>
      <c r="D100" s="942"/>
      <c r="E100" s="942"/>
      <c r="F100" s="942"/>
      <c r="G100" s="942"/>
      <c r="H100" s="942"/>
      <c r="I100" s="943"/>
      <c r="J100" s="11"/>
    </row>
    <row r="101" spans="1:10" ht="15.75" customHeight="1">
      <c r="A101" s="941"/>
      <c r="B101" s="942"/>
      <c r="C101" s="942"/>
      <c r="D101" s="942"/>
      <c r="E101" s="942"/>
      <c r="F101" s="942"/>
      <c r="G101" s="942"/>
      <c r="H101" s="942"/>
      <c r="I101" s="943"/>
      <c r="J101" s="11"/>
    </row>
    <row r="102" spans="1:10" ht="15.75" customHeight="1">
      <c r="A102" s="941"/>
      <c r="B102" s="942"/>
      <c r="C102" s="942"/>
      <c r="D102" s="942"/>
      <c r="E102" s="942"/>
      <c r="F102" s="942"/>
      <c r="G102" s="942"/>
      <c r="H102" s="942"/>
      <c r="I102" s="943"/>
      <c r="J102" s="11"/>
    </row>
    <row r="103" spans="1:10" ht="15.75" customHeight="1">
      <c r="A103" s="941"/>
      <c r="B103" s="942"/>
      <c r="C103" s="942"/>
      <c r="D103" s="942"/>
      <c r="E103" s="942"/>
      <c r="F103" s="942"/>
      <c r="G103" s="942"/>
      <c r="H103" s="942"/>
      <c r="I103" s="943"/>
      <c r="J103" s="11"/>
    </row>
    <row r="104" spans="1:10" ht="15.75" customHeight="1">
      <c r="A104" s="944"/>
      <c r="B104" s="945"/>
      <c r="C104" s="945"/>
      <c r="D104" s="945"/>
      <c r="E104" s="945"/>
      <c r="F104" s="945"/>
      <c r="G104" s="945"/>
      <c r="H104" s="945"/>
      <c r="I104" s="946"/>
      <c r="J104" s="11"/>
    </row>
    <row r="105" spans="1:10" ht="15.75" customHeight="1">
      <c r="A105" s="950"/>
      <c r="B105" s="939"/>
      <c r="C105" s="939"/>
      <c r="D105" s="939"/>
      <c r="E105" s="939"/>
      <c r="F105" s="939"/>
      <c r="G105" s="939"/>
      <c r="H105" s="939"/>
      <c r="I105" s="940"/>
      <c r="J105" s="11"/>
    </row>
    <row r="106" spans="1:10" ht="15.75" customHeight="1">
      <c r="A106" s="953"/>
      <c r="B106" s="954"/>
      <c r="C106" s="954"/>
      <c r="D106" s="954"/>
      <c r="E106" s="954"/>
      <c r="F106" s="954"/>
      <c r="G106" s="954"/>
      <c r="H106" s="954"/>
      <c r="I106" s="955"/>
      <c r="J106" s="11"/>
    </row>
    <row r="107" spans="1:10" ht="15.75" customHeight="1"/>
    <row r="108" spans="1:10" ht="15.75" customHeight="1">
      <c r="A108" s="77"/>
      <c r="B108" s="957" t="s">
        <v>148</v>
      </c>
      <c r="C108" s="935"/>
      <c r="D108" s="935"/>
      <c r="E108" s="958"/>
      <c r="F108" s="78"/>
      <c r="G108" s="78"/>
      <c r="H108" s="78"/>
      <c r="I108" s="79"/>
    </row>
    <row r="109" spans="1:10" ht="15.75" customHeight="1">
      <c r="A109" s="47">
        <v>44470</v>
      </c>
      <c r="B109" s="80"/>
      <c r="C109" s="16" t="s">
        <v>15</v>
      </c>
      <c r="D109" s="80"/>
      <c r="E109" s="80"/>
      <c r="F109" s="80"/>
      <c r="G109" s="80"/>
      <c r="H109" s="18">
        <f>H91</f>
        <v>816055082</v>
      </c>
      <c r="I109" s="81"/>
    </row>
    <row r="110" spans="1:10" ht="15.75" customHeight="1">
      <c r="A110" s="47">
        <v>44476</v>
      </c>
      <c r="B110" s="82" t="s">
        <v>149</v>
      </c>
      <c r="C110" s="83" t="s">
        <v>150</v>
      </c>
      <c r="D110" s="28" t="s">
        <v>151</v>
      </c>
      <c r="E110" s="42">
        <v>9678898</v>
      </c>
      <c r="F110" s="84"/>
      <c r="G110" s="85">
        <f>2033467</f>
        <v>2033467</v>
      </c>
      <c r="H110" s="39">
        <f t="shared" ref="H110:H144" si="13">H109+F110-G110</f>
        <v>814021615</v>
      </c>
      <c r="I110" s="86" t="s">
        <v>152</v>
      </c>
    </row>
    <row r="111" spans="1:10" ht="15.75" customHeight="1">
      <c r="A111" s="47">
        <v>44484</v>
      </c>
      <c r="B111" s="37" t="s">
        <v>46</v>
      </c>
      <c r="C111" s="37" t="s">
        <v>46</v>
      </c>
      <c r="D111" s="80"/>
      <c r="E111" s="42">
        <v>9678899</v>
      </c>
      <c r="F111" s="84"/>
      <c r="G111" s="84">
        <f>0</f>
        <v>0</v>
      </c>
      <c r="H111" s="19">
        <f t="shared" si="13"/>
        <v>814021615</v>
      </c>
      <c r="I111" s="81"/>
    </row>
    <row r="112" spans="1:10" ht="15.75" customHeight="1">
      <c r="A112" s="47">
        <v>44484</v>
      </c>
      <c r="B112" s="80" t="s">
        <v>153</v>
      </c>
      <c r="C112" s="80" t="s">
        <v>154</v>
      </c>
      <c r="D112" s="28" t="s">
        <v>155</v>
      </c>
      <c r="E112" s="42">
        <v>9678900</v>
      </c>
      <c r="F112" s="84"/>
      <c r="G112" s="84">
        <f>82710</f>
        <v>82710</v>
      </c>
      <c r="H112" s="19">
        <f t="shared" si="13"/>
        <v>813938905</v>
      </c>
      <c r="I112" s="41" t="s">
        <v>100</v>
      </c>
    </row>
    <row r="113" spans="1:10" ht="15.75" customHeight="1">
      <c r="A113" s="47">
        <v>44487</v>
      </c>
      <c r="B113" s="37" t="s">
        <v>72</v>
      </c>
      <c r="C113" s="83" t="s">
        <v>156</v>
      </c>
      <c r="D113" s="28" t="s">
        <v>157</v>
      </c>
      <c r="E113" s="82">
        <v>9678901</v>
      </c>
      <c r="F113" s="84"/>
      <c r="G113" s="84">
        <f>600000</f>
        <v>600000</v>
      </c>
      <c r="H113" s="19">
        <f t="shared" si="13"/>
        <v>813338905</v>
      </c>
      <c r="I113" s="41" t="s">
        <v>158</v>
      </c>
    </row>
    <row r="114" spans="1:10" ht="15.75" customHeight="1">
      <c r="A114" s="47">
        <v>44487</v>
      </c>
      <c r="B114" s="82" t="s">
        <v>159</v>
      </c>
      <c r="C114" s="83" t="s">
        <v>160</v>
      </c>
      <c r="D114" s="28" t="s">
        <v>161</v>
      </c>
      <c r="E114" s="82">
        <v>9678902</v>
      </c>
      <c r="F114" s="84"/>
      <c r="G114" s="84">
        <f>634504</f>
        <v>634504</v>
      </c>
      <c r="H114" s="19">
        <f t="shared" si="13"/>
        <v>812704401</v>
      </c>
      <c r="I114" s="60" t="s">
        <v>162</v>
      </c>
    </row>
    <row r="115" spans="1:10" ht="15.75" customHeight="1">
      <c r="A115" s="47">
        <v>44487</v>
      </c>
      <c r="B115" s="82" t="s">
        <v>163</v>
      </c>
      <c r="C115" s="87" t="s">
        <v>164</v>
      </c>
      <c r="D115" s="28" t="s">
        <v>165</v>
      </c>
      <c r="E115" s="80">
        <v>9678903</v>
      </c>
      <c r="F115" s="84"/>
      <c r="G115" s="84">
        <f>1032352</f>
        <v>1032352</v>
      </c>
      <c r="H115" s="19">
        <f t="shared" si="13"/>
        <v>811672049</v>
      </c>
      <c r="I115" s="60" t="s">
        <v>162</v>
      </c>
    </row>
    <row r="116" spans="1:10" ht="15.75" customHeight="1">
      <c r="A116" s="47">
        <v>44487</v>
      </c>
      <c r="B116" s="80" t="s">
        <v>166</v>
      </c>
      <c r="C116" s="80" t="s">
        <v>167</v>
      </c>
      <c r="D116" s="28" t="s">
        <v>168</v>
      </c>
      <c r="E116" s="80">
        <v>9678904</v>
      </c>
      <c r="F116" s="84"/>
      <c r="G116" s="84">
        <f>1092437</f>
        <v>1092437</v>
      </c>
      <c r="H116" s="19">
        <f t="shared" si="13"/>
        <v>810579612</v>
      </c>
      <c r="I116" s="41" t="s">
        <v>169</v>
      </c>
    </row>
    <row r="117" spans="1:10" ht="15.75" customHeight="1">
      <c r="A117" s="47">
        <v>44489</v>
      </c>
      <c r="B117" s="37" t="s">
        <v>88</v>
      </c>
      <c r="C117" s="82" t="s">
        <v>170</v>
      </c>
      <c r="D117" s="28" t="s">
        <v>171</v>
      </c>
      <c r="E117" s="80">
        <v>9678905</v>
      </c>
      <c r="F117" s="84"/>
      <c r="G117" s="84">
        <f t="shared" ref="G117:G119" si="14">1983614</f>
        <v>1983614</v>
      </c>
      <c r="H117" s="19">
        <f t="shared" si="13"/>
        <v>808595998</v>
      </c>
      <c r="I117" s="60" t="s">
        <v>172</v>
      </c>
    </row>
    <row r="118" spans="1:10" ht="15.75" customHeight="1">
      <c r="A118" s="47">
        <v>44489</v>
      </c>
      <c r="B118" s="37" t="s">
        <v>42</v>
      </c>
      <c r="C118" s="82" t="s">
        <v>170</v>
      </c>
      <c r="D118" s="28" t="s">
        <v>173</v>
      </c>
      <c r="E118" s="80">
        <v>9678906</v>
      </c>
      <c r="F118" s="84"/>
      <c r="G118" s="84">
        <f t="shared" si="14"/>
        <v>1983614</v>
      </c>
      <c r="H118" s="19">
        <f t="shared" si="13"/>
        <v>806612384</v>
      </c>
      <c r="I118" s="60" t="s">
        <v>172</v>
      </c>
    </row>
    <row r="119" spans="1:10" ht="15.75" customHeight="1">
      <c r="A119" s="47">
        <v>44489</v>
      </c>
      <c r="B119" s="37" t="s">
        <v>35</v>
      </c>
      <c r="C119" s="82" t="s">
        <v>170</v>
      </c>
      <c r="D119" s="28" t="s">
        <v>174</v>
      </c>
      <c r="E119" s="80">
        <v>9678907</v>
      </c>
      <c r="F119" s="84"/>
      <c r="G119" s="84">
        <f t="shared" si="14"/>
        <v>1983614</v>
      </c>
      <c r="H119" s="19">
        <f t="shared" si="13"/>
        <v>804628770</v>
      </c>
      <c r="I119" s="60" t="s">
        <v>172</v>
      </c>
    </row>
    <row r="120" spans="1:10" ht="15.75" customHeight="1">
      <c r="A120" s="47">
        <v>44489</v>
      </c>
      <c r="B120" s="82" t="s">
        <v>149</v>
      </c>
      <c r="C120" s="83" t="s">
        <v>175</v>
      </c>
      <c r="D120" s="28" t="s">
        <v>176</v>
      </c>
      <c r="E120" s="82">
        <v>9678908</v>
      </c>
      <c r="F120" s="84"/>
      <c r="G120" s="85">
        <f>3214180</f>
        <v>3214180</v>
      </c>
      <c r="H120" s="19">
        <f t="shared" si="13"/>
        <v>801414590</v>
      </c>
      <c r="I120" s="86" t="s">
        <v>177</v>
      </c>
      <c r="J120" s="88"/>
    </row>
    <row r="121" spans="1:10" ht="15.75" customHeight="1">
      <c r="A121" s="47">
        <v>44489</v>
      </c>
      <c r="B121" s="37" t="s">
        <v>178</v>
      </c>
      <c r="C121" s="82" t="s">
        <v>179</v>
      </c>
      <c r="D121" s="28" t="s">
        <v>180</v>
      </c>
      <c r="E121" s="80">
        <v>9678909</v>
      </c>
      <c r="F121" s="84"/>
      <c r="G121" s="84">
        <f>646800</f>
        <v>646800</v>
      </c>
      <c r="H121" s="19">
        <f t="shared" si="13"/>
        <v>800767790</v>
      </c>
      <c r="I121" s="60" t="s">
        <v>181</v>
      </c>
    </row>
    <row r="122" spans="1:10" ht="15.75" customHeight="1">
      <c r="A122" s="47">
        <v>44489</v>
      </c>
      <c r="B122" s="80" t="s">
        <v>182</v>
      </c>
      <c r="C122" s="80" t="s">
        <v>183</v>
      </c>
      <c r="D122" s="28" t="s">
        <v>184</v>
      </c>
      <c r="E122" s="80">
        <v>9678910</v>
      </c>
      <c r="F122" s="84"/>
      <c r="G122" s="84">
        <f>85000</f>
        <v>85000</v>
      </c>
      <c r="H122" s="19">
        <f t="shared" si="13"/>
        <v>800682790</v>
      </c>
      <c r="I122" s="44" t="s">
        <v>108</v>
      </c>
    </row>
    <row r="123" spans="1:10" ht="15.75" customHeight="1">
      <c r="A123" s="47">
        <v>44489</v>
      </c>
      <c r="B123" s="80" t="s">
        <v>185</v>
      </c>
      <c r="C123" s="80" t="s">
        <v>186</v>
      </c>
      <c r="D123" s="28" t="s">
        <v>187</v>
      </c>
      <c r="E123" s="80">
        <v>9678911</v>
      </c>
      <c r="F123" s="84"/>
      <c r="G123" s="84">
        <f>120000</f>
        <v>120000</v>
      </c>
      <c r="H123" s="19">
        <f t="shared" si="13"/>
        <v>800562790</v>
      </c>
      <c r="I123" s="41" t="s">
        <v>100</v>
      </c>
    </row>
    <row r="124" spans="1:10" ht="15.75" customHeight="1">
      <c r="A124" s="47">
        <v>44490</v>
      </c>
      <c r="B124" s="80" t="s">
        <v>188</v>
      </c>
      <c r="C124" s="83" t="s">
        <v>189</v>
      </c>
      <c r="D124" s="28" t="s">
        <v>190</v>
      </c>
      <c r="E124" s="80">
        <v>9678912</v>
      </c>
      <c r="F124" s="84"/>
      <c r="G124" s="84">
        <f>1594718</f>
        <v>1594718</v>
      </c>
      <c r="H124" s="19">
        <f t="shared" si="13"/>
        <v>798968072</v>
      </c>
      <c r="I124" s="41" t="s">
        <v>104</v>
      </c>
    </row>
    <row r="125" spans="1:10" ht="15.75" customHeight="1">
      <c r="A125" s="47">
        <v>44490</v>
      </c>
      <c r="B125" s="37" t="s">
        <v>72</v>
      </c>
      <c r="C125" s="83" t="s">
        <v>191</v>
      </c>
      <c r="D125" s="28" t="s">
        <v>192</v>
      </c>
      <c r="E125" s="89" t="s">
        <v>66</v>
      </c>
      <c r="F125" s="84"/>
      <c r="G125" s="90">
        <f>-1355</f>
        <v>-1355</v>
      </c>
      <c r="H125" s="19">
        <f t="shared" si="13"/>
        <v>798969427</v>
      </c>
      <c r="I125" s="86" t="s">
        <v>193</v>
      </c>
    </row>
    <row r="126" spans="1:10" ht="15.75" customHeight="1">
      <c r="A126" s="47">
        <v>44491</v>
      </c>
      <c r="B126" s="91" t="s">
        <v>137</v>
      </c>
      <c r="C126" s="83" t="s">
        <v>194</v>
      </c>
      <c r="D126" s="28" t="s">
        <v>195</v>
      </c>
      <c r="E126" s="80">
        <v>9678913</v>
      </c>
      <c r="F126" s="84"/>
      <c r="G126" s="84">
        <f>1398122</f>
        <v>1398122</v>
      </c>
      <c r="H126" s="19">
        <f t="shared" si="13"/>
        <v>797571305</v>
      </c>
      <c r="I126" s="60" t="s">
        <v>140</v>
      </c>
    </row>
    <row r="127" spans="1:10" ht="15.75" customHeight="1">
      <c r="A127" s="47">
        <v>44491</v>
      </c>
      <c r="B127" s="37" t="s">
        <v>111</v>
      </c>
      <c r="C127" s="59" t="s">
        <v>196</v>
      </c>
      <c r="D127" s="28" t="s">
        <v>197</v>
      </c>
      <c r="E127" s="50" t="s">
        <v>26</v>
      </c>
      <c r="F127" s="38"/>
      <c r="G127" s="39">
        <f>1150000</f>
        <v>1150000</v>
      </c>
      <c r="H127" s="19">
        <f t="shared" si="13"/>
        <v>796421305</v>
      </c>
      <c r="I127" s="92" t="s">
        <v>198</v>
      </c>
    </row>
    <row r="128" spans="1:10" ht="15.75" customHeight="1">
      <c r="A128" s="47">
        <v>44491</v>
      </c>
      <c r="B128" s="37" t="s">
        <v>122</v>
      </c>
      <c r="C128" s="59" t="s">
        <v>199</v>
      </c>
      <c r="D128" s="28" t="s">
        <v>200</v>
      </c>
      <c r="E128" s="50" t="s">
        <v>26</v>
      </c>
      <c r="F128" s="38"/>
      <c r="G128" s="39">
        <f>230000</f>
        <v>230000</v>
      </c>
      <c r="H128" s="19">
        <f t="shared" si="13"/>
        <v>796191305</v>
      </c>
      <c r="I128" s="41" t="s">
        <v>61</v>
      </c>
    </row>
    <row r="129" spans="1:9" ht="15.75" customHeight="1">
      <c r="A129" s="47">
        <v>44491</v>
      </c>
      <c r="B129" s="37" t="s">
        <v>16</v>
      </c>
      <c r="C129" s="45" t="s">
        <v>201</v>
      </c>
      <c r="D129" s="28" t="s">
        <v>202</v>
      </c>
      <c r="E129" s="29" t="s">
        <v>19</v>
      </c>
      <c r="F129" s="38"/>
      <c r="G129" s="39">
        <f>5900</f>
        <v>5900</v>
      </c>
      <c r="H129" s="19">
        <f t="shared" si="13"/>
        <v>796185405</v>
      </c>
      <c r="I129" s="20" t="s">
        <v>20</v>
      </c>
    </row>
    <row r="130" spans="1:9" ht="15.75" customHeight="1">
      <c r="A130" s="47">
        <v>44491</v>
      </c>
      <c r="B130" s="37" t="s">
        <v>35</v>
      </c>
      <c r="C130" s="49" t="s">
        <v>203</v>
      </c>
      <c r="D130" s="28" t="s">
        <v>204</v>
      </c>
      <c r="E130" s="50" t="s">
        <v>26</v>
      </c>
      <c r="F130" s="38"/>
      <c r="G130" s="39">
        <f t="shared" ref="G130:G132" si="15">2737241</f>
        <v>2737241</v>
      </c>
      <c r="H130" s="19">
        <f t="shared" si="13"/>
        <v>793448164</v>
      </c>
      <c r="I130" s="36" t="s">
        <v>34</v>
      </c>
    </row>
    <row r="131" spans="1:9" ht="15.75" customHeight="1">
      <c r="A131" s="47">
        <v>44491</v>
      </c>
      <c r="B131" s="40" t="s">
        <v>38</v>
      </c>
      <c r="C131" s="49" t="s">
        <v>203</v>
      </c>
      <c r="D131" s="28" t="s">
        <v>204</v>
      </c>
      <c r="E131" s="50" t="s">
        <v>26</v>
      </c>
      <c r="F131" s="38"/>
      <c r="G131" s="39">
        <f t="shared" si="15"/>
        <v>2737241</v>
      </c>
      <c r="H131" s="19">
        <f t="shared" si="13"/>
        <v>790710923</v>
      </c>
      <c r="I131" s="41" t="s">
        <v>41</v>
      </c>
    </row>
    <row r="132" spans="1:9" ht="15.75" customHeight="1">
      <c r="A132" s="47">
        <v>44491</v>
      </c>
      <c r="B132" s="48" t="s">
        <v>31</v>
      </c>
      <c r="C132" s="49" t="s">
        <v>203</v>
      </c>
      <c r="D132" s="28" t="s">
        <v>204</v>
      </c>
      <c r="E132" s="50" t="s">
        <v>26</v>
      </c>
      <c r="F132" s="38"/>
      <c r="G132" s="39">
        <f t="shared" si="15"/>
        <v>2737241</v>
      </c>
      <c r="H132" s="19">
        <f t="shared" si="13"/>
        <v>787973682</v>
      </c>
      <c r="I132" s="36" t="s">
        <v>34</v>
      </c>
    </row>
    <row r="133" spans="1:9" ht="15.75" customHeight="1">
      <c r="A133" s="47">
        <v>44491</v>
      </c>
      <c r="B133" s="37" t="s">
        <v>42</v>
      </c>
      <c r="C133" s="49" t="s">
        <v>203</v>
      </c>
      <c r="D133" s="28" t="s">
        <v>204</v>
      </c>
      <c r="E133" s="50" t="s">
        <v>26</v>
      </c>
      <c r="F133" s="38"/>
      <c r="G133" s="39">
        <f>1737871</f>
        <v>1737871</v>
      </c>
      <c r="H133" s="19">
        <f t="shared" si="13"/>
        <v>786235811</v>
      </c>
      <c r="I133" s="41" t="s">
        <v>45</v>
      </c>
    </row>
    <row r="134" spans="1:9" ht="15.75" customHeight="1">
      <c r="A134" s="47">
        <v>44491</v>
      </c>
      <c r="B134" s="51" t="s">
        <v>59</v>
      </c>
      <c r="C134" s="49" t="s">
        <v>203</v>
      </c>
      <c r="D134" s="28" t="s">
        <v>204</v>
      </c>
      <c r="E134" s="50" t="s">
        <v>26</v>
      </c>
      <c r="F134" s="38"/>
      <c r="G134" s="39">
        <f>3555757</f>
        <v>3555757</v>
      </c>
      <c r="H134" s="19">
        <f t="shared" si="13"/>
        <v>782680054</v>
      </c>
      <c r="I134" s="41" t="s">
        <v>61</v>
      </c>
    </row>
    <row r="135" spans="1:9" ht="15.75" customHeight="1">
      <c r="A135" s="47">
        <v>44491</v>
      </c>
      <c r="B135" s="27" t="s">
        <v>205</v>
      </c>
      <c r="C135" s="49" t="s">
        <v>203</v>
      </c>
      <c r="D135" s="28" t="s">
        <v>204</v>
      </c>
      <c r="E135" s="50" t="s">
        <v>26</v>
      </c>
      <c r="F135" s="38"/>
      <c r="G135" s="93">
        <f>3481392</f>
        <v>3481392</v>
      </c>
      <c r="H135" s="19">
        <f t="shared" si="13"/>
        <v>779198662</v>
      </c>
      <c r="I135" s="60" t="s">
        <v>206</v>
      </c>
    </row>
    <row r="136" spans="1:9" ht="15.75" customHeight="1">
      <c r="A136" s="47">
        <v>44491</v>
      </c>
      <c r="B136" s="37" t="s">
        <v>72</v>
      </c>
      <c r="C136" s="52" t="s">
        <v>207</v>
      </c>
      <c r="D136" s="28" t="s">
        <v>208</v>
      </c>
      <c r="E136" s="29" t="s">
        <v>26</v>
      </c>
      <c r="F136" s="38"/>
      <c r="G136" s="39">
        <f>570928</f>
        <v>570928</v>
      </c>
      <c r="H136" s="19">
        <f t="shared" si="13"/>
        <v>778627734</v>
      </c>
      <c r="I136" s="57" t="s">
        <v>75</v>
      </c>
    </row>
    <row r="137" spans="1:9" ht="15.75" customHeight="1">
      <c r="A137" s="47">
        <v>44491</v>
      </c>
      <c r="B137" s="37" t="s">
        <v>76</v>
      </c>
      <c r="C137" s="52" t="s">
        <v>207</v>
      </c>
      <c r="D137" s="28" t="s">
        <v>208</v>
      </c>
      <c r="E137" s="29" t="s">
        <v>26</v>
      </c>
      <c r="F137" s="38"/>
      <c r="G137" s="39">
        <f>971105</f>
        <v>971105</v>
      </c>
      <c r="H137" s="19">
        <f t="shared" si="13"/>
        <v>777656629</v>
      </c>
      <c r="I137" s="57" t="s">
        <v>77</v>
      </c>
    </row>
    <row r="138" spans="1:9" ht="15.75" customHeight="1">
      <c r="A138" s="47">
        <v>44491</v>
      </c>
      <c r="B138" s="40" t="s">
        <v>78</v>
      </c>
      <c r="C138" s="52" t="s">
        <v>207</v>
      </c>
      <c r="D138" s="28" t="s">
        <v>208</v>
      </c>
      <c r="E138" s="29" t="s">
        <v>26</v>
      </c>
      <c r="F138" s="38"/>
      <c r="G138" s="39">
        <f>998281</f>
        <v>998281</v>
      </c>
      <c r="H138" s="19">
        <f t="shared" si="13"/>
        <v>776658348</v>
      </c>
      <c r="I138" s="41" t="s">
        <v>79</v>
      </c>
    </row>
    <row r="139" spans="1:9" ht="15.75" customHeight="1">
      <c r="A139" s="47">
        <v>44491</v>
      </c>
      <c r="B139" s="37" t="s">
        <v>80</v>
      </c>
      <c r="C139" s="52" t="s">
        <v>207</v>
      </c>
      <c r="D139" s="28" t="s">
        <v>208</v>
      </c>
      <c r="E139" s="29" t="s">
        <v>26</v>
      </c>
      <c r="F139" s="38"/>
      <c r="G139" s="39">
        <f>365255</f>
        <v>365255</v>
      </c>
      <c r="H139" s="19">
        <f t="shared" si="13"/>
        <v>776293093</v>
      </c>
      <c r="I139" s="57" t="s">
        <v>81</v>
      </c>
    </row>
    <row r="140" spans="1:9" ht="15.75" customHeight="1">
      <c r="A140" s="47">
        <v>44491</v>
      </c>
      <c r="B140" s="58" t="s">
        <v>82</v>
      </c>
      <c r="C140" s="52" t="s">
        <v>207</v>
      </c>
      <c r="D140" s="28" t="s">
        <v>208</v>
      </c>
      <c r="E140" s="29" t="s">
        <v>26</v>
      </c>
      <c r="F140" s="38"/>
      <c r="G140" s="39">
        <f>1213422</f>
        <v>1213422</v>
      </c>
      <c r="H140" s="19">
        <f t="shared" si="13"/>
        <v>775079671</v>
      </c>
      <c r="I140" s="41" t="s">
        <v>83</v>
      </c>
    </row>
    <row r="141" spans="1:9" ht="15.75" customHeight="1">
      <c r="A141" s="47">
        <v>44491</v>
      </c>
      <c r="B141" s="37" t="s">
        <v>84</v>
      </c>
      <c r="C141" s="52" t="s">
        <v>207</v>
      </c>
      <c r="D141" s="28" t="s">
        <v>208</v>
      </c>
      <c r="E141" s="29" t="s">
        <v>26</v>
      </c>
      <c r="F141" s="38"/>
      <c r="G141" s="39">
        <f>550332</f>
        <v>550332</v>
      </c>
      <c r="H141" s="19">
        <f t="shared" si="13"/>
        <v>774529339</v>
      </c>
      <c r="I141" s="57" t="s">
        <v>85</v>
      </c>
    </row>
    <row r="142" spans="1:9" ht="15.75" customHeight="1">
      <c r="A142" s="47">
        <v>44491</v>
      </c>
      <c r="B142" s="37" t="s">
        <v>88</v>
      </c>
      <c r="C142" s="52" t="s">
        <v>209</v>
      </c>
      <c r="D142" s="28" t="s">
        <v>210</v>
      </c>
      <c r="E142" s="29" t="s">
        <v>26</v>
      </c>
      <c r="F142" s="38"/>
      <c r="G142" s="39">
        <f>2393828</f>
        <v>2393828</v>
      </c>
      <c r="H142" s="19">
        <f t="shared" si="13"/>
        <v>772135511</v>
      </c>
      <c r="I142" s="57" t="s">
        <v>91</v>
      </c>
    </row>
    <row r="143" spans="1:9" ht="15.75" customHeight="1">
      <c r="A143" s="47">
        <v>44494</v>
      </c>
      <c r="B143" s="82" t="s">
        <v>211</v>
      </c>
      <c r="C143" s="83" t="s">
        <v>212</v>
      </c>
      <c r="D143" s="28" t="s">
        <v>213</v>
      </c>
      <c r="E143" s="82">
        <v>9678914</v>
      </c>
      <c r="F143" s="85"/>
      <c r="G143" s="85">
        <f>530000</f>
        <v>530000</v>
      </c>
      <c r="H143" s="19">
        <f t="shared" si="13"/>
        <v>771605511</v>
      </c>
      <c r="I143" s="57" t="s">
        <v>214</v>
      </c>
    </row>
    <row r="144" spans="1:9" ht="15.75" customHeight="1">
      <c r="A144" s="61">
        <v>44498</v>
      </c>
      <c r="B144" s="63" t="s">
        <v>16</v>
      </c>
      <c r="C144" s="94" t="s">
        <v>215</v>
      </c>
      <c r="D144" s="95" t="s">
        <v>216</v>
      </c>
      <c r="E144" s="65" t="s">
        <v>19</v>
      </c>
      <c r="F144" s="96"/>
      <c r="G144" s="97">
        <f>6000+1080</f>
        <v>7080</v>
      </c>
      <c r="H144" s="98">
        <f t="shared" si="13"/>
        <v>771598431</v>
      </c>
      <c r="I144" s="99" t="s">
        <v>20</v>
      </c>
    </row>
    <row r="145" spans="1:9" ht="15.75" customHeight="1">
      <c r="A145" s="69"/>
      <c r="B145" s="70" t="s">
        <v>143</v>
      </c>
      <c r="C145" s="100"/>
      <c r="D145" s="72"/>
      <c r="E145" s="73"/>
      <c r="F145" s="101">
        <f t="shared" ref="F145:G145" si="16">SUM(F109:F144)</f>
        <v>0</v>
      </c>
      <c r="G145" s="101">
        <f t="shared" si="16"/>
        <v>44456651</v>
      </c>
      <c r="H145" s="101">
        <f>H144</f>
        <v>771598431</v>
      </c>
      <c r="I145" s="102"/>
    </row>
    <row r="146" spans="1:9" ht="15.75" customHeight="1">
      <c r="A146" s="69"/>
      <c r="B146" s="70" t="s">
        <v>217</v>
      </c>
      <c r="C146" s="71"/>
      <c r="D146" s="72"/>
      <c r="E146" s="73"/>
      <c r="F146" s="103">
        <f t="shared" ref="F146:H146" si="17">F145/655.957</f>
        <v>0</v>
      </c>
      <c r="G146" s="103">
        <f t="shared" si="17"/>
        <v>67773.727546165377</v>
      </c>
      <c r="H146" s="103">
        <f t="shared" si="17"/>
        <v>1176294.2250787781</v>
      </c>
      <c r="I146" s="72"/>
    </row>
    <row r="147" spans="1:9" ht="15.75" customHeight="1">
      <c r="A147" s="104"/>
      <c r="B147" s="105"/>
      <c r="C147" s="106"/>
      <c r="D147" s="107"/>
      <c r="E147" s="108"/>
      <c r="F147" s="109"/>
      <c r="G147" s="109"/>
      <c r="H147" s="109"/>
      <c r="I147" s="110"/>
    </row>
    <row r="148" spans="1:9" ht="15.75" customHeight="1">
      <c r="A148" s="111" t="s">
        <v>145</v>
      </c>
      <c r="B148" s="112"/>
      <c r="C148" s="959"/>
      <c r="D148" s="945"/>
      <c r="E148" s="945"/>
      <c r="F148" s="945"/>
      <c r="G148" s="960" t="s">
        <v>146</v>
      </c>
      <c r="H148" s="945"/>
      <c r="I148" s="946"/>
    </row>
    <row r="149" spans="1:9" ht="15.75" customHeight="1">
      <c r="A149" s="950"/>
      <c r="B149" s="939"/>
      <c r="C149" s="939"/>
      <c r="D149" s="939"/>
      <c r="E149" s="939"/>
      <c r="F149" s="939"/>
      <c r="G149" s="939"/>
      <c r="H149" s="939"/>
      <c r="I149" s="940"/>
    </row>
    <row r="150" spans="1:9" ht="15.75" customHeight="1">
      <c r="A150" s="941"/>
      <c r="B150" s="942"/>
      <c r="C150" s="942"/>
      <c r="D150" s="942"/>
      <c r="E150" s="942"/>
      <c r="F150" s="942"/>
      <c r="G150" s="942"/>
      <c r="H150" s="942"/>
      <c r="I150" s="943"/>
    </row>
    <row r="151" spans="1:9" ht="15.75" customHeight="1">
      <c r="A151" s="951" t="s">
        <v>147</v>
      </c>
      <c r="B151" s="942"/>
      <c r="C151" s="942"/>
      <c r="D151" s="942"/>
      <c r="E151" s="942"/>
      <c r="F151" s="942"/>
      <c r="G151" s="942"/>
      <c r="H151" s="942"/>
      <c r="I151" s="943"/>
    </row>
    <row r="152" spans="1:9" ht="15.75" customHeight="1">
      <c r="A152" s="952"/>
      <c r="B152" s="942"/>
      <c r="C152" s="942"/>
      <c r="D152" s="942"/>
      <c r="E152" s="942"/>
      <c r="F152" s="942"/>
      <c r="G152" s="942"/>
      <c r="H152" s="942"/>
      <c r="I152" s="943"/>
    </row>
    <row r="153" spans="1:9" ht="15.75" customHeight="1">
      <c r="A153" s="941"/>
      <c r="B153" s="942"/>
      <c r="C153" s="942"/>
      <c r="D153" s="942"/>
      <c r="E153" s="942"/>
      <c r="F153" s="942"/>
      <c r="G153" s="942"/>
      <c r="H153" s="942"/>
      <c r="I153" s="943"/>
    </row>
    <row r="154" spans="1:9" ht="15.75" customHeight="1">
      <c r="A154" s="941"/>
      <c r="B154" s="942"/>
      <c r="C154" s="942"/>
      <c r="D154" s="942"/>
      <c r="E154" s="942"/>
      <c r="F154" s="942"/>
      <c r="G154" s="942"/>
      <c r="H154" s="942"/>
      <c r="I154" s="943"/>
    </row>
    <row r="155" spans="1:9" ht="15.75" customHeight="1">
      <c r="A155" s="941"/>
      <c r="B155" s="942"/>
      <c r="C155" s="942"/>
      <c r="D155" s="942"/>
      <c r="E155" s="942"/>
      <c r="F155" s="942"/>
      <c r="G155" s="942"/>
      <c r="H155" s="942"/>
      <c r="I155" s="943"/>
    </row>
    <row r="156" spans="1:9" ht="11.25" customHeight="1">
      <c r="A156" s="941"/>
      <c r="B156" s="942"/>
      <c r="C156" s="942"/>
      <c r="D156" s="942"/>
      <c r="E156" s="942"/>
      <c r="F156" s="942"/>
      <c r="G156" s="942"/>
      <c r="H156" s="942"/>
      <c r="I156" s="943"/>
    </row>
    <row r="157" spans="1:9" ht="10.5" customHeight="1">
      <c r="A157" s="941"/>
      <c r="B157" s="942"/>
      <c r="C157" s="942"/>
      <c r="D157" s="942"/>
      <c r="E157" s="942"/>
      <c r="F157" s="942"/>
      <c r="G157" s="942"/>
      <c r="H157" s="942"/>
      <c r="I157" s="943"/>
    </row>
    <row r="158" spans="1:9" ht="3.75" customHeight="1">
      <c r="A158" s="941"/>
      <c r="B158" s="942"/>
      <c r="C158" s="942"/>
      <c r="D158" s="942"/>
      <c r="E158" s="942"/>
      <c r="F158" s="942"/>
      <c r="G158" s="942"/>
      <c r="H158" s="942"/>
      <c r="I158" s="943"/>
    </row>
    <row r="159" spans="1:9" ht="2.25" customHeight="1">
      <c r="A159" s="941"/>
      <c r="B159" s="942"/>
      <c r="C159" s="942"/>
      <c r="D159" s="942"/>
      <c r="E159" s="942"/>
      <c r="F159" s="942"/>
      <c r="G159" s="942"/>
      <c r="H159" s="942"/>
      <c r="I159" s="943"/>
    </row>
    <row r="160" spans="1:9" ht="15.75" customHeight="1">
      <c r="A160" s="953"/>
      <c r="B160" s="954"/>
      <c r="C160" s="954"/>
      <c r="D160" s="954"/>
      <c r="E160" s="954"/>
      <c r="F160" s="954"/>
      <c r="G160" s="954"/>
      <c r="H160" s="954"/>
      <c r="I160" s="955"/>
    </row>
    <row r="161" spans="1:9" ht="15.75" customHeight="1">
      <c r="A161" s="113"/>
      <c r="B161" s="930" t="s">
        <v>218</v>
      </c>
      <c r="C161" s="928"/>
      <c r="D161" s="928"/>
      <c r="E161" s="929"/>
      <c r="F161" s="114"/>
      <c r="G161" s="114"/>
      <c r="H161" s="115"/>
      <c r="I161" s="79"/>
    </row>
    <row r="162" spans="1:9" ht="15.75" customHeight="1">
      <c r="A162" s="47">
        <v>44501</v>
      </c>
      <c r="B162" s="80"/>
      <c r="C162" s="12" t="s">
        <v>15</v>
      </c>
      <c r="D162" s="80"/>
      <c r="E162" s="80"/>
      <c r="F162" s="80"/>
      <c r="G162" s="80"/>
      <c r="H162" s="116">
        <f>H145</f>
        <v>771598431</v>
      </c>
      <c r="I162" s="81"/>
    </row>
    <row r="163" spans="1:9" ht="15.75" customHeight="1">
      <c r="A163" s="47">
        <v>44502</v>
      </c>
      <c r="B163" s="37" t="s">
        <v>46</v>
      </c>
      <c r="C163" s="37" t="s">
        <v>46</v>
      </c>
      <c r="D163" s="80"/>
      <c r="E163" s="82">
        <v>9678915</v>
      </c>
      <c r="F163" s="84"/>
      <c r="G163" s="84">
        <f>0</f>
        <v>0</v>
      </c>
      <c r="H163" s="117">
        <f t="shared" ref="H163:H196" si="18">H162+F163-G163</f>
        <v>771598431</v>
      </c>
      <c r="I163" s="81"/>
    </row>
    <row r="164" spans="1:9" ht="15.75" customHeight="1">
      <c r="A164" s="47">
        <v>44502</v>
      </c>
      <c r="B164" s="37" t="s">
        <v>219</v>
      </c>
      <c r="C164" s="58" t="s">
        <v>220</v>
      </c>
      <c r="D164" s="28" t="s">
        <v>221</v>
      </c>
      <c r="E164" s="82">
        <v>9678916</v>
      </c>
      <c r="F164" s="84"/>
      <c r="G164" s="84">
        <f>1817136</f>
        <v>1817136</v>
      </c>
      <c r="H164" s="117">
        <f t="shared" si="18"/>
        <v>769781295</v>
      </c>
      <c r="I164" s="92" t="s">
        <v>222</v>
      </c>
    </row>
    <row r="165" spans="1:9" ht="15.75" customHeight="1">
      <c r="A165" s="47">
        <v>44504</v>
      </c>
      <c r="B165" s="80" t="s">
        <v>223</v>
      </c>
      <c r="C165" s="80" t="s">
        <v>224</v>
      </c>
      <c r="D165" s="28" t="s">
        <v>225</v>
      </c>
      <c r="E165" s="82">
        <v>9678917</v>
      </c>
      <c r="F165" s="84"/>
      <c r="G165" s="84">
        <v>655957</v>
      </c>
      <c r="H165" s="117">
        <f t="shared" si="18"/>
        <v>769125338</v>
      </c>
      <c r="I165" s="118" t="s">
        <v>226</v>
      </c>
    </row>
    <row r="166" spans="1:9" ht="15.75" customHeight="1">
      <c r="A166" s="47">
        <v>44504</v>
      </c>
      <c r="B166" s="37" t="s">
        <v>227</v>
      </c>
      <c r="C166" s="80" t="s">
        <v>228</v>
      </c>
      <c r="D166" s="28" t="s">
        <v>229</v>
      </c>
      <c r="E166" s="82">
        <v>9678918</v>
      </c>
      <c r="F166" s="84"/>
      <c r="G166" s="84">
        <f>750000</f>
        <v>750000</v>
      </c>
      <c r="H166" s="117">
        <f t="shared" si="18"/>
        <v>768375338</v>
      </c>
      <c r="I166" s="118" t="s">
        <v>230</v>
      </c>
    </row>
    <row r="167" spans="1:9" ht="15.75" customHeight="1">
      <c r="A167" s="47">
        <v>44504</v>
      </c>
      <c r="B167" s="82" t="s">
        <v>159</v>
      </c>
      <c r="C167" s="87" t="s">
        <v>231</v>
      </c>
      <c r="D167" s="28" t="s">
        <v>232</v>
      </c>
      <c r="E167" s="82">
        <v>9678919</v>
      </c>
      <c r="F167" s="84"/>
      <c r="G167" s="84">
        <f>1480512</f>
        <v>1480512</v>
      </c>
      <c r="H167" s="117">
        <f t="shared" si="18"/>
        <v>766894826</v>
      </c>
      <c r="I167" s="41" t="s">
        <v>162</v>
      </c>
    </row>
    <row r="168" spans="1:9" ht="15.75" customHeight="1">
      <c r="A168" s="47">
        <v>44504</v>
      </c>
      <c r="B168" s="37" t="s">
        <v>227</v>
      </c>
      <c r="C168" s="52" t="s">
        <v>98</v>
      </c>
      <c r="D168" s="28" t="s">
        <v>233</v>
      </c>
      <c r="E168" s="80">
        <v>9678920</v>
      </c>
      <c r="F168" s="84"/>
      <c r="G168" s="84">
        <f>118155</f>
        <v>118155</v>
      </c>
      <c r="H168" s="117">
        <f t="shared" si="18"/>
        <v>766776671</v>
      </c>
      <c r="I168" s="41" t="s">
        <v>100</v>
      </c>
    </row>
    <row r="169" spans="1:9" ht="15.75" customHeight="1">
      <c r="A169" s="47">
        <v>44510</v>
      </c>
      <c r="B169" s="82" t="s">
        <v>234</v>
      </c>
      <c r="C169" s="83" t="s">
        <v>235</v>
      </c>
      <c r="D169" s="28" t="s">
        <v>236</v>
      </c>
      <c r="E169" s="80">
        <v>9678921</v>
      </c>
      <c r="F169" s="84"/>
      <c r="G169" s="84">
        <f>100500</f>
        <v>100500</v>
      </c>
      <c r="H169" s="117">
        <f t="shared" si="18"/>
        <v>766676171</v>
      </c>
      <c r="I169" s="41" t="s">
        <v>162</v>
      </c>
    </row>
    <row r="170" spans="1:9" ht="15.75" customHeight="1">
      <c r="A170" s="47">
        <v>44512</v>
      </c>
      <c r="B170" s="37" t="s">
        <v>188</v>
      </c>
      <c r="C170" s="82" t="s">
        <v>237</v>
      </c>
      <c r="D170" s="28" t="s">
        <v>238</v>
      </c>
      <c r="E170" s="82">
        <v>9678922</v>
      </c>
      <c r="F170" s="84"/>
      <c r="G170" s="84">
        <f>3579838</f>
        <v>3579838</v>
      </c>
      <c r="H170" s="117">
        <f t="shared" si="18"/>
        <v>763096333</v>
      </c>
      <c r="I170" s="119" t="s">
        <v>239</v>
      </c>
    </row>
    <row r="171" spans="1:9" ht="15.75" customHeight="1">
      <c r="A171" s="47">
        <v>44512</v>
      </c>
      <c r="B171" s="37" t="s">
        <v>101</v>
      </c>
      <c r="C171" s="87" t="s">
        <v>240</v>
      </c>
      <c r="D171" s="28" t="s">
        <v>241</v>
      </c>
      <c r="E171" s="80">
        <v>9678923</v>
      </c>
      <c r="F171" s="84"/>
      <c r="G171" s="84">
        <f>622835</f>
        <v>622835</v>
      </c>
      <c r="H171" s="117">
        <f t="shared" si="18"/>
        <v>762473498</v>
      </c>
      <c r="I171" s="41" t="s">
        <v>104</v>
      </c>
    </row>
    <row r="172" spans="1:9" ht="15.75" customHeight="1">
      <c r="A172" s="47">
        <v>44512</v>
      </c>
      <c r="B172" s="37" t="s">
        <v>242</v>
      </c>
      <c r="C172" s="87" t="s">
        <v>243</v>
      </c>
      <c r="D172" s="28" t="s">
        <v>244</v>
      </c>
      <c r="E172" s="80">
        <v>9678924</v>
      </c>
      <c r="F172" s="84"/>
      <c r="G172" s="84">
        <f>1460000</f>
        <v>1460000</v>
      </c>
      <c r="H172" s="117">
        <f t="shared" si="18"/>
        <v>761013498</v>
      </c>
      <c r="I172" s="120" t="s">
        <v>245</v>
      </c>
    </row>
    <row r="173" spans="1:9" ht="15.75" customHeight="1">
      <c r="A173" s="47">
        <v>44523</v>
      </c>
      <c r="B173" s="37" t="s">
        <v>35</v>
      </c>
      <c r="C173" s="49" t="s">
        <v>246</v>
      </c>
      <c r="D173" s="28" t="s">
        <v>247</v>
      </c>
      <c r="E173" s="50" t="s">
        <v>26</v>
      </c>
      <c r="F173" s="38"/>
      <c r="G173" s="39">
        <f t="shared" ref="G173:G175" si="19">2737241</f>
        <v>2737241</v>
      </c>
      <c r="H173" s="117">
        <f t="shared" si="18"/>
        <v>758276257</v>
      </c>
      <c r="I173" s="36" t="s">
        <v>34</v>
      </c>
    </row>
    <row r="174" spans="1:9" ht="15.75" customHeight="1">
      <c r="A174" s="47">
        <v>44523</v>
      </c>
      <c r="B174" s="40" t="s">
        <v>38</v>
      </c>
      <c r="C174" s="49" t="s">
        <v>246</v>
      </c>
      <c r="D174" s="28" t="s">
        <v>247</v>
      </c>
      <c r="E174" s="50" t="s">
        <v>26</v>
      </c>
      <c r="F174" s="38"/>
      <c r="G174" s="39">
        <f t="shared" si="19"/>
        <v>2737241</v>
      </c>
      <c r="H174" s="117">
        <f t="shared" si="18"/>
        <v>755539016</v>
      </c>
      <c r="I174" s="41" t="s">
        <v>41</v>
      </c>
    </row>
    <row r="175" spans="1:9" ht="15.75" customHeight="1">
      <c r="A175" s="47">
        <v>44523</v>
      </c>
      <c r="B175" s="48" t="s">
        <v>31</v>
      </c>
      <c r="C175" s="49" t="s">
        <v>246</v>
      </c>
      <c r="D175" s="28" t="s">
        <v>247</v>
      </c>
      <c r="E175" s="50" t="s">
        <v>26</v>
      </c>
      <c r="F175" s="38"/>
      <c r="G175" s="39">
        <f t="shared" si="19"/>
        <v>2737241</v>
      </c>
      <c r="H175" s="117">
        <f t="shared" si="18"/>
        <v>752801775</v>
      </c>
      <c r="I175" s="36" t="s">
        <v>34</v>
      </c>
    </row>
    <row r="176" spans="1:9" ht="15.75" customHeight="1">
      <c r="A176" s="47">
        <v>44523</v>
      </c>
      <c r="B176" s="37" t="s">
        <v>42</v>
      </c>
      <c r="C176" s="49" t="s">
        <v>246</v>
      </c>
      <c r="D176" s="28" t="s">
        <v>247</v>
      </c>
      <c r="E176" s="50" t="s">
        <v>26</v>
      </c>
      <c r="F176" s="38"/>
      <c r="G176" s="39">
        <f>1737871</f>
        <v>1737871</v>
      </c>
      <c r="H176" s="117">
        <f t="shared" si="18"/>
        <v>751063904</v>
      </c>
      <c r="I176" s="41" t="s">
        <v>45</v>
      </c>
    </row>
    <row r="177" spans="1:9" ht="15.75" customHeight="1">
      <c r="A177" s="47">
        <v>44523</v>
      </c>
      <c r="B177" s="51" t="s">
        <v>59</v>
      </c>
      <c r="C177" s="49" t="s">
        <v>246</v>
      </c>
      <c r="D177" s="28" t="s">
        <v>247</v>
      </c>
      <c r="E177" s="50" t="s">
        <v>26</v>
      </c>
      <c r="F177" s="38"/>
      <c r="G177" s="39">
        <f>3555757</f>
        <v>3555757</v>
      </c>
      <c r="H177" s="117">
        <f t="shared" si="18"/>
        <v>747508147</v>
      </c>
      <c r="I177" s="41" t="s">
        <v>61</v>
      </c>
    </row>
    <row r="178" spans="1:9" ht="15.75" customHeight="1">
      <c r="A178" s="47">
        <v>44523</v>
      </c>
      <c r="B178" s="27" t="s">
        <v>205</v>
      </c>
      <c r="C178" s="49" t="s">
        <v>246</v>
      </c>
      <c r="D178" s="28" t="s">
        <v>247</v>
      </c>
      <c r="E178" s="50" t="s">
        <v>26</v>
      </c>
      <c r="F178" s="38"/>
      <c r="G178" s="93">
        <f>3481392</f>
        <v>3481392</v>
      </c>
      <c r="H178" s="117">
        <f t="shared" si="18"/>
        <v>744026755</v>
      </c>
      <c r="I178" s="60" t="s">
        <v>206</v>
      </c>
    </row>
    <row r="179" spans="1:9" ht="15.75" customHeight="1">
      <c r="A179" s="47">
        <v>44523</v>
      </c>
      <c r="B179" s="37" t="s">
        <v>72</v>
      </c>
      <c r="C179" s="52" t="s">
        <v>248</v>
      </c>
      <c r="D179" s="28" t="s">
        <v>249</v>
      </c>
      <c r="E179" s="29" t="s">
        <v>26</v>
      </c>
      <c r="F179" s="38"/>
      <c r="G179" s="39">
        <f>570928</f>
        <v>570928</v>
      </c>
      <c r="H179" s="117">
        <f t="shared" si="18"/>
        <v>743455827</v>
      </c>
      <c r="I179" s="57" t="s">
        <v>75</v>
      </c>
    </row>
    <row r="180" spans="1:9" ht="15.75" customHeight="1">
      <c r="A180" s="47">
        <v>44523</v>
      </c>
      <c r="B180" s="37" t="s">
        <v>76</v>
      </c>
      <c r="C180" s="52" t="s">
        <v>248</v>
      </c>
      <c r="D180" s="28" t="s">
        <v>249</v>
      </c>
      <c r="E180" s="29" t="s">
        <v>26</v>
      </c>
      <c r="F180" s="38"/>
      <c r="G180" s="39">
        <f>971105</f>
        <v>971105</v>
      </c>
      <c r="H180" s="117">
        <f t="shared" si="18"/>
        <v>742484722</v>
      </c>
      <c r="I180" s="57" t="s">
        <v>77</v>
      </c>
    </row>
    <row r="181" spans="1:9" ht="15.75" customHeight="1">
      <c r="A181" s="47">
        <v>44523</v>
      </c>
      <c r="B181" s="40" t="s">
        <v>78</v>
      </c>
      <c r="C181" s="52" t="s">
        <v>248</v>
      </c>
      <c r="D181" s="28" t="s">
        <v>249</v>
      </c>
      <c r="E181" s="29" t="s">
        <v>26</v>
      </c>
      <c r="F181" s="38"/>
      <c r="G181" s="39">
        <f>998281</f>
        <v>998281</v>
      </c>
      <c r="H181" s="117">
        <f t="shared" si="18"/>
        <v>741486441</v>
      </c>
      <c r="I181" s="41" t="s">
        <v>79</v>
      </c>
    </row>
    <row r="182" spans="1:9" ht="15.75" customHeight="1">
      <c r="A182" s="47">
        <v>44523</v>
      </c>
      <c r="B182" s="37" t="s">
        <v>80</v>
      </c>
      <c r="C182" s="52" t="s">
        <v>248</v>
      </c>
      <c r="D182" s="28" t="s">
        <v>249</v>
      </c>
      <c r="E182" s="29" t="s">
        <v>26</v>
      </c>
      <c r="F182" s="38"/>
      <c r="G182" s="39">
        <f>365255</f>
        <v>365255</v>
      </c>
      <c r="H182" s="117">
        <f t="shared" si="18"/>
        <v>741121186</v>
      </c>
      <c r="I182" s="57" t="s">
        <v>81</v>
      </c>
    </row>
    <row r="183" spans="1:9" ht="15.75" customHeight="1">
      <c r="A183" s="47">
        <v>44523</v>
      </c>
      <c r="B183" s="58" t="s">
        <v>82</v>
      </c>
      <c r="C183" s="52" t="s">
        <v>248</v>
      </c>
      <c r="D183" s="28" t="s">
        <v>249</v>
      </c>
      <c r="E183" s="29" t="s">
        <v>26</v>
      </c>
      <c r="F183" s="38"/>
      <c r="G183" s="39">
        <f>1213422</f>
        <v>1213422</v>
      </c>
      <c r="H183" s="117">
        <f t="shared" si="18"/>
        <v>739907764</v>
      </c>
      <c r="I183" s="41" t="s">
        <v>83</v>
      </c>
    </row>
    <row r="184" spans="1:9" ht="15.75" customHeight="1">
      <c r="A184" s="47">
        <v>44523</v>
      </c>
      <c r="B184" s="37" t="s">
        <v>84</v>
      </c>
      <c r="C184" s="52" t="s">
        <v>248</v>
      </c>
      <c r="D184" s="28" t="s">
        <v>249</v>
      </c>
      <c r="E184" s="29" t="s">
        <v>26</v>
      </c>
      <c r="F184" s="38"/>
      <c r="G184" s="39">
        <f>550332</f>
        <v>550332</v>
      </c>
      <c r="H184" s="117">
        <f t="shared" si="18"/>
        <v>739357432</v>
      </c>
      <c r="I184" s="57" t="s">
        <v>85</v>
      </c>
    </row>
    <row r="185" spans="1:9" ht="15.75" customHeight="1">
      <c r="A185" s="47">
        <v>44523</v>
      </c>
      <c r="B185" s="37" t="s">
        <v>88</v>
      </c>
      <c r="C185" s="52" t="s">
        <v>250</v>
      </c>
      <c r="D185" s="28" t="s">
        <v>251</v>
      </c>
      <c r="E185" s="29" t="s">
        <v>26</v>
      </c>
      <c r="F185" s="38"/>
      <c r="G185" s="39">
        <f>2393828</f>
        <v>2393828</v>
      </c>
      <c r="H185" s="117">
        <f t="shared" si="18"/>
        <v>736963604</v>
      </c>
      <c r="I185" s="57" t="s">
        <v>91</v>
      </c>
    </row>
    <row r="186" spans="1:9" ht="15.75" customHeight="1">
      <c r="A186" s="47">
        <v>44523</v>
      </c>
      <c r="B186" s="37" t="s">
        <v>46</v>
      </c>
      <c r="C186" s="37" t="s">
        <v>46</v>
      </c>
      <c r="D186" s="80"/>
      <c r="E186" s="80">
        <v>9678925</v>
      </c>
      <c r="F186" s="84"/>
      <c r="G186" s="84">
        <f t="shared" ref="G186:G187" si="20">0</f>
        <v>0</v>
      </c>
      <c r="H186" s="117">
        <f t="shared" si="18"/>
        <v>736963604</v>
      </c>
      <c r="I186" s="57"/>
    </row>
    <row r="187" spans="1:9" ht="15.75" customHeight="1">
      <c r="A187" s="47">
        <v>44523</v>
      </c>
      <c r="B187" s="37" t="s">
        <v>46</v>
      </c>
      <c r="C187" s="37" t="s">
        <v>46</v>
      </c>
      <c r="D187" s="80"/>
      <c r="E187" s="80">
        <v>9678926</v>
      </c>
      <c r="F187" s="84"/>
      <c r="G187" s="84">
        <f t="shared" si="20"/>
        <v>0</v>
      </c>
      <c r="H187" s="117">
        <f t="shared" si="18"/>
        <v>736963604</v>
      </c>
      <c r="I187" s="57"/>
    </row>
    <row r="188" spans="1:9" ht="15.75" customHeight="1">
      <c r="A188" s="47">
        <v>44523</v>
      </c>
      <c r="B188" s="37" t="s">
        <v>227</v>
      </c>
      <c r="C188" s="52" t="s">
        <v>252</v>
      </c>
      <c r="D188" s="28" t="s">
        <v>253</v>
      </c>
      <c r="E188" s="80">
        <v>9678927</v>
      </c>
      <c r="F188" s="38"/>
      <c r="G188" s="39">
        <f>1794567</f>
        <v>1794567</v>
      </c>
      <c r="H188" s="117">
        <f t="shared" si="18"/>
        <v>735169037</v>
      </c>
      <c r="I188" s="120" t="s">
        <v>230</v>
      </c>
    </row>
    <row r="189" spans="1:9" ht="15.75" customHeight="1">
      <c r="A189" s="47">
        <v>44523</v>
      </c>
      <c r="B189" s="82" t="s">
        <v>223</v>
      </c>
      <c r="C189" s="82" t="s">
        <v>254</v>
      </c>
      <c r="D189" s="28" t="s">
        <v>255</v>
      </c>
      <c r="E189" s="82">
        <v>9678928</v>
      </c>
      <c r="F189" s="38"/>
      <c r="G189" s="39">
        <f>2951806</f>
        <v>2951806</v>
      </c>
      <c r="H189" s="117">
        <f t="shared" si="18"/>
        <v>732217231</v>
      </c>
      <c r="I189" s="120" t="s">
        <v>226</v>
      </c>
    </row>
    <row r="190" spans="1:9" ht="15.75" customHeight="1">
      <c r="A190" s="47">
        <v>44523</v>
      </c>
      <c r="B190" s="37" t="s">
        <v>111</v>
      </c>
      <c r="C190" s="59" t="s">
        <v>256</v>
      </c>
      <c r="D190" s="28" t="s">
        <v>257</v>
      </c>
      <c r="E190" s="50" t="s">
        <v>26</v>
      </c>
      <c r="F190" s="38"/>
      <c r="G190" s="39">
        <f>1150000</f>
        <v>1150000</v>
      </c>
      <c r="H190" s="117">
        <f t="shared" si="18"/>
        <v>731067231</v>
      </c>
      <c r="I190" s="92" t="s">
        <v>258</v>
      </c>
    </row>
    <row r="191" spans="1:9" ht="15.75" customHeight="1">
      <c r="A191" s="47">
        <v>44523</v>
      </c>
      <c r="B191" s="37" t="s">
        <v>122</v>
      </c>
      <c r="C191" s="59" t="s">
        <v>259</v>
      </c>
      <c r="D191" s="28" t="s">
        <v>260</v>
      </c>
      <c r="E191" s="50" t="s">
        <v>26</v>
      </c>
      <c r="F191" s="38"/>
      <c r="G191" s="39">
        <f>230000</f>
        <v>230000</v>
      </c>
      <c r="H191" s="117">
        <f t="shared" si="18"/>
        <v>730837231</v>
      </c>
      <c r="I191" s="41" t="s">
        <v>61</v>
      </c>
    </row>
    <row r="192" spans="1:9" ht="15.75" customHeight="1">
      <c r="A192" s="47">
        <v>44523</v>
      </c>
      <c r="B192" s="37" t="s">
        <v>16</v>
      </c>
      <c r="C192" s="45" t="s">
        <v>261</v>
      </c>
      <c r="D192" s="28" t="s">
        <v>262</v>
      </c>
      <c r="E192" s="29" t="s">
        <v>19</v>
      </c>
      <c r="F192" s="38"/>
      <c r="G192" s="39">
        <f>5900</f>
        <v>5900</v>
      </c>
      <c r="H192" s="117">
        <f t="shared" si="18"/>
        <v>730831331</v>
      </c>
      <c r="I192" s="20" t="s">
        <v>20</v>
      </c>
    </row>
    <row r="193" spans="1:9" ht="15.75" customHeight="1">
      <c r="A193" s="47">
        <v>44523</v>
      </c>
      <c r="B193" s="37" t="s">
        <v>111</v>
      </c>
      <c r="C193" s="59" t="s">
        <v>263</v>
      </c>
      <c r="D193" s="28" t="s">
        <v>264</v>
      </c>
      <c r="E193" s="50" t="s">
        <v>26</v>
      </c>
      <c r="F193" s="38"/>
      <c r="G193" s="39">
        <f>230000</f>
        <v>230000</v>
      </c>
      <c r="H193" s="117">
        <f t="shared" si="18"/>
        <v>730601331</v>
      </c>
      <c r="I193" s="60" t="s">
        <v>206</v>
      </c>
    </row>
    <row r="194" spans="1:9" ht="15.75" customHeight="1">
      <c r="A194" s="47">
        <v>44523</v>
      </c>
      <c r="B194" s="37" t="s">
        <v>111</v>
      </c>
      <c r="C194" s="59" t="s">
        <v>265</v>
      </c>
      <c r="D194" s="28" t="s">
        <v>266</v>
      </c>
      <c r="E194" s="50" t="s">
        <v>26</v>
      </c>
      <c r="F194" s="38"/>
      <c r="G194" s="39">
        <f>460000</f>
        <v>460000</v>
      </c>
      <c r="H194" s="117">
        <f t="shared" si="18"/>
        <v>730141331</v>
      </c>
      <c r="I194" s="92" t="s">
        <v>267</v>
      </c>
    </row>
    <row r="195" spans="1:9" ht="15.75" customHeight="1">
      <c r="A195" s="47">
        <v>44523</v>
      </c>
      <c r="B195" s="37" t="s">
        <v>268</v>
      </c>
      <c r="C195" s="59" t="s">
        <v>269</v>
      </c>
      <c r="D195" s="95" t="s">
        <v>270</v>
      </c>
      <c r="E195" s="50" t="s">
        <v>26</v>
      </c>
      <c r="F195" s="38"/>
      <c r="G195" s="39">
        <f>8110513</f>
        <v>8110513</v>
      </c>
      <c r="H195" s="117">
        <f t="shared" si="18"/>
        <v>722030818</v>
      </c>
      <c r="I195" s="121" t="s">
        <v>271</v>
      </c>
    </row>
    <row r="196" spans="1:9" ht="15.75" customHeight="1">
      <c r="A196" s="61">
        <v>44530</v>
      </c>
      <c r="B196" s="63" t="s">
        <v>16</v>
      </c>
      <c r="C196" s="94" t="s">
        <v>272</v>
      </c>
      <c r="D196" s="95" t="s">
        <v>273</v>
      </c>
      <c r="E196" s="65" t="s">
        <v>19</v>
      </c>
      <c r="F196" s="96"/>
      <c r="G196" s="97">
        <f>6000+1080</f>
        <v>7080</v>
      </c>
      <c r="H196" s="122">
        <f t="shared" si="18"/>
        <v>722023738</v>
      </c>
      <c r="I196" s="123" t="s">
        <v>20</v>
      </c>
    </row>
    <row r="197" spans="1:9" ht="15.75" customHeight="1">
      <c r="A197" s="69"/>
      <c r="B197" s="124" t="s">
        <v>143</v>
      </c>
      <c r="C197" s="100"/>
      <c r="D197" s="72"/>
      <c r="E197" s="73"/>
      <c r="F197" s="101">
        <f t="shared" ref="F197:G197" si="21">SUM(F162:F196)</f>
        <v>0</v>
      </c>
      <c r="G197" s="101">
        <f t="shared" si="21"/>
        <v>49574693</v>
      </c>
      <c r="H197" s="101">
        <f>H196</f>
        <v>722023738</v>
      </c>
      <c r="I197" s="102"/>
    </row>
    <row r="198" spans="1:9" ht="15.75" customHeight="1">
      <c r="A198" s="69"/>
      <c r="B198" s="124" t="s">
        <v>217</v>
      </c>
      <c r="C198" s="71"/>
      <c r="D198" s="72"/>
      <c r="E198" s="73"/>
      <c r="F198" s="103">
        <f t="shared" ref="F198:H198" si="22">F197/655.957</f>
        <v>0</v>
      </c>
      <c r="G198" s="103">
        <f t="shared" si="22"/>
        <v>75576.132276963282</v>
      </c>
      <c r="H198" s="103">
        <f t="shared" si="22"/>
        <v>1100718.0928018147</v>
      </c>
      <c r="I198" s="71"/>
    </row>
    <row r="199" spans="1:9" ht="15.75" customHeight="1">
      <c r="A199" s="931"/>
      <c r="B199" s="932"/>
      <c r="C199" s="932"/>
      <c r="D199" s="932"/>
      <c r="E199" s="932"/>
      <c r="F199" s="932"/>
      <c r="G199" s="932"/>
      <c r="H199" s="932"/>
      <c r="I199" s="933"/>
    </row>
    <row r="200" spans="1:9" ht="15.75" customHeight="1">
      <c r="A200" s="75" t="s">
        <v>145</v>
      </c>
      <c r="B200" s="76"/>
      <c r="C200" s="934"/>
      <c r="D200" s="935"/>
      <c r="E200" s="935"/>
      <c r="F200" s="935"/>
      <c r="G200" s="936" t="s">
        <v>146</v>
      </c>
      <c r="H200" s="935"/>
      <c r="I200" s="937"/>
    </row>
    <row r="201" spans="1:9" ht="15.75" customHeight="1">
      <c r="A201" s="938"/>
      <c r="B201" s="939"/>
      <c r="C201" s="939"/>
      <c r="D201" s="939"/>
      <c r="E201" s="939"/>
      <c r="F201" s="939"/>
      <c r="G201" s="939"/>
      <c r="H201" s="939"/>
      <c r="I201" s="940"/>
    </row>
    <row r="202" spans="1:9" ht="15.75" customHeight="1">
      <c r="A202" s="941"/>
      <c r="B202" s="942"/>
      <c r="C202" s="942"/>
      <c r="D202" s="942"/>
      <c r="E202" s="942"/>
      <c r="F202" s="942"/>
      <c r="G202" s="942"/>
      <c r="H202" s="942"/>
      <c r="I202" s="943"/>
    </row>
    <row r="203" spans="1:9" ht="15.75" customHeight="1">
      <c r="A203" s="941"/>
      <c r="B203" s="942"/>
      <c r="C203" s="942"/>
      <c r="D203" s="942"/>
      <c r="E203" s="942"/>
      <c r="F203" s="942"/>
      <c r="G203" s="942"/>
      <c r="H203" s="942"/>
      <c r="I203" s="943"/>
    </row>
    <row r="204" spans="1:9" ht="15.75" customHeight="1">
      <c r="A204" s="944"/>
      <c r="B204" s="945"/>
      <c r="C204" s="945"/>
      <c r="D204" s="945"/>
      <c r="E204" s="945"/>
      <c r="F204" s="945"/>
      <c r="G204" s="945"/>
      <c r="H204" s="945"/>
      <c r="I204" s="946"/>
    </row>
    <row r="205" spans="1:9" ht="15.75" customHeight="1">
      <c r="A205" s="947" t="s">
        <v>147</v>
      </c>
      <c r="B205" s="948"/>
      <c r="C205" s="948"/>
      <c r="D205" s="948"/>
      <c r="E205" s="948"/>
      <c r="F205" s="948"/>
      <c r="G205" s="948"/>
      <c r="H205" s="948"/>
      <c r="I205" s="949"/>
    </row>
    <row r="206" spans="1:9" ht="15.75" customHeight="1"/>
    <row r="207" spans="1:9" ht="15.75" customHeight="1">
      <c r="A207" s="47"/>
      <c r="B207" s="930" t="s">
        <v>274</v>
      </c>
      <c r="C207" s="928"/>
      <c r="D207" s="928"/>
      <c r="E207" s="929"/>
      <c r="F207" s="38"/>
      <c r="G207" s="39"/>
      <c r="H207" s="125"/>
      <c r="I207" s="120"/>
    </row>
    <row r="208" spans="1:9" ht="15.75" customHeight="1">
      <c r="A208" s="47"/>
      <c r="B208" s="82"/>
      <c r="C208" s="12" t="s">
        <v>15</v>
      </c>
      <c r="D208" s="55"/>
      <c r="E208" s="82"/>
      <c r="F208" s="38"/>
      <c r="G208" s="39"/>
      <c r="H208" s="116">
        <f>H197</f>
        <v>722023738</v>
      </c>
      <c r="I208" s="120"/>
    </row>
    <row r="209" spans="1:9" ht="15.75" customHeight="1">
      <c r="A209" s="47">
        <v>44533</v>
      </c>
      <c r="B209" s="37" t="s">
        <v>46</v>
      </c>
      <c r="C209" s="37" t="s">
        <v>46</v>
      </c>
      <c r="D209" s="80"/>
      <c r="E209" s="80">
        <v>9678929</v>
      </c>
      <c r="F209" s="84"/>
      <c r="G209" s="84">
        <f>0</f>
        <v>0</v>
      </c>
      <c r="H209" s="116">
        <f t="shared" ref="H209:H237" si="23">H208+F209-G209</f>
        <v>722023738</v>
      </c>
      <c r="I209" s="120"/>
    </row>
    <row r="210" spans="1:9" ht="15.75" customHeight="1">
      <c r="A210" s="47">
        <v>44533</v>
      </c>
      <c r="B210" s="91" t="s">
        <v>137</v>
      </c>
      <c r="C210" s="83" t="s">
        <v>275</v>
      </c>
      <c r="D210" s="95" t="s">
        <v>276</v>
      </c>
      <c r="E210" s="80">
        <v>9678930</v>
      </c>
      <c r="F210" s="38"/>
      <c r="G210" s="39">
        <f>1502089</f>
        <v>1502089</v>
      </c>
      <c r="H210" s="117">
        <f t="shared" si="23"/>
        <v>720521649</v>
      </c>
      <c r="I210" s="60" t="s">
        <v>140</v>
      </c>
    </row>
    <row r="211" spans="1:9" ht="15.75" customHeight="1">
      <c r="A211" s="47">
        <v>44533</v>
      </c>
      <c r="B211" s="37" t="s">
        <v>277</v>
      </c>
      <c r="C211" s="59" t="s">
        <v>278</v>
      </c>
      <c r="D211" s="95" t="s">
        <v>279</v>
      </c>
      <c r="E211" s="80">
        <v>9678931</v>
      </c>
      <c r="F211" s="38"/>
      <c r="G211" s="39">
        <f>1028935</f>
        <v>1028935</v>
      </c>
      <c r="H211" s="117">
        <f t="shared" si="23"/>
        <v>719492714</v>
      </c>
      <c r="I211" s="41" t="s">
        <v>280</v>
      </c>
    </row>
    <row r="212" spans="1:9" ht="15.75" customHeight="1">
      <c r="A212" s="47">
        <v>44536</v>
      </c>
      <c r="B212" s="37" t="s">
        <v>281</v>
      </c>
      <c r="C212" s="45" t="s">
        <v>282</v>
      </c>
      <c r="D212" s="95" t="s">
        <v>283</v>
      </c>
      <c r="E212" s="80">
        <v>9678932</v>
      </c>
      <c r="F212" s="38"/>
      <c r="G212" s="39">
        <f>129000</f>
        <v>129000</v>
      </c>
      <c r="H212" s="117">
        <f t="shared" si="23"/>
        <v>719363714</v>
      </c>
      <c r="I212" s="41" t="s">
        <v>162</v>
      </c>
    </row>
    <row r="213" spans="1:9" ht="15.75" customHeight="1">
      <c r="A213" s="47">
        <v>44536</v>
      </c>
      <c r="B213" s="37" t="s">
        <v>284</v>
      </c>
      <c r="C213" s="59" t="s">
        <v>285</v>
      </c>
      <c r="D213" s="95" t="s">
        <v>286</v>
      </c>
      <c r="E213" s="80">
        <v>9678933</v>
      </c>
      <c r="F213" s="38"/>
      <c r="G213" s="39">
        <f>30000</f>
        <v>30000</v>
      </c>
      <c r="H213" s="117">
        <f t="shared" si="23"/>
        <v>719333714</v>
      </c>
      <c r="I213" s="41" t="s">
        <v>162</v>
      </c>
    </row>
    <row r="214" spans="1:9" ht="15.75" customHeight="1">
      <c r="A214" s="47">
        <v>44536</v>
      </c>
      <c r="B214" s="37" t="s">
        <v>72</v>
      </c>
      <c r="C214" s="59" t="s">
        <v>287</v>
      </c>
      <c r="D214" s="95" t="s">
        <v>288</v>
      </c>
      <c r="E214" s="80">
        <v>9678934</v>
      </c>
      <c r="F214" s="38"/>
      <c r="G214" s="39">
        <f>39000</f>
        <v>39000</v>
      </c>
      <c r="H214" s="117">
        <f t="shared" si="23"/>
        <v>719294714</v>
      </c>
      <c r="I214" s="41" t="s">
        <v>280</v>
      </c>
    </row>
    <row r="215" spans="1:9" ht="15.75" customHeight="1">
      <c r="A215" s="47">
        <v>44538</v>
      </c>
      <c r="B215" s="37" t="s">
        <v>234</v>
      </c>
      <c r="C215" s="59" t="s">
        <v>289</v>
      </c>
      <c r="D215" s="95" t="s">
        <v>290</v>
      </c>
      <c r="E215" s="80">
        <v>9678935</v>
      </c>
      <c r="F215" s="38"/>
      <c r="G215" s="39">
        <f>250000</f>
        <v>250000</v>
      </c>
      <c r="H215" s="117">
        <f t="shared" si="23"/>
        <v>719044714</v>
      </c>
      <c r="I215" s="60" t="s">
        <v>140</v>
      </c>
    </row>
    <row r="216" spans="1:9" ht="15.75" customHeight="1">
      <c r="A216" s="47">
        <v>44544</v>
      </c>
      <c r="B216" s="37" t="s">
        <v>291</v>
      </c>
      <c r="C216" s="59" t="s">
        <v>292</v>
      </c>
      <c r="D216" s="95" t="s">
        <v>293</v>
      </c>
      <c r="E216" s="80">
        <v>9678936</v>
      </c>
      <c r="F216" s="38"/>
      <c r="G216" s="39">
        <f>131983</f>
        <v>131983</v>
      </c>
      <c r="H216" s="117">
        <f t="shared" si="23"/>
        <v>718912731</v>
      </c>
      <c r="I216" s="36" t="s">
        <v>181</v>
      </c>
    </row>
    <row r="217" spans="1:9" ht="15.75" customHeight="1">
      <c r="A217" s="47">
        <v>44545</v>
      </c>
      <c r="B217" s="37" t="s">
        <v>35</v>
      </c>
      <c r="C217" s="49" t="s">
        <v>294</v>
      </c>
      <c r="D217" s="95" t="s">
        <v>295</v>
      </c>
      <c r="E217" s="50" t="s">
        <v>26</v>
      </c>
      <c r="F217" s="38"/>
      <c r="G217" s="39">
        <f t="shared" ref="G217:G219" si="24">2737241</f>
        <v>2737241</v>
      </c>
      <c r="H217" s="117">
        <f t="shared" si="23"/>
        <v>716175490</v>
      </c>
      <c r="I217" s="36" t="s">
        <v>34</v>
      </c>
    </row>
    <row r="218" spans="1:9" ht="15.75" customHeight="1">
      <c r="A218" s="47">
        <v>44545</v>
      </c>
      <c r="B218" s="40" t="s">
        <v>38</v>
      </c>
      <c r="C218" s="49" t="s">
        <v>294</v>
      </c>
      <c r="D218" s="95" t="s">
        <v>295</v>
      </c>
      <c r="E218" s="50" t="s">
        <v>26</v>
      </c>
      <c r="F218" s="38"/>
      <c r="G218" s="39">
        <f t="shared" si="24"/>
        <v>2737241</v>
      </c>
      <c r="H218" s="117">
        <f t="shared" si="23"/>
        <v>713438249</v>
      </c>
      <c r="I218" s="41" t="s">
        <v>41</v>
      </c>
    </row>
    <row r="219" spans="1:9" ht="15.75" customHeight="1">
      <c r="A219" s="47">
        <v>44545</v>
      </c>
      <c r="B219" s="48" t="s">
        <v>31</v>
      </c>
      <c r="C219" s="49" t="s">
        <v>294</v>
      </c>
      <c r="D219" s="28" t="s">
        <v>295</v>
      </c>
      <c r="E219" s="50" t="s">
        <v>26</v>
      </c>
      <c r="F219" s="38"/>
      <c r="G219" s="39">
        <f t="shared" si="24"/>
        <v>2737241</v>
      </c>
      <c r="H219" s="117">
        <f t="shared" si="23"/>
        <v>710701008</v>
      </c>
      <c r="I219" s="36" t="s">
        <v>34</v>
      </c>
    </row>
    <row r="220" spans="1:9" ht="15.75" customHeight="1">
      <c r="A220" s="47">
        <v>44545</v>
      </c>
      <c r="B220" s="37" t="s">
        <v>42</v>
      </c>
      <c r="C220" s="49" t="s">
        <v>294</v>
      </c>
      <c r="D220" s="95" t="s">
        <v>295</v>
      </c>
      <c r="E220" s="50" t="s">
        <v>26</v>
      </c>
      <c r="F220" s="38"/>
      <c r="G220" s="39">
        <f>1737871</f>
        <v>1737871</v>
      </c>
      <c r="H220" s="117">
        <f t="shared" si="23"/>
        <v>708963137</v>
      </c>
      <c r="I220" s="41" t="s">
        <v>45</v>
      </c>
    </row>
    <row r="221" spans="1:9" ht="15.75" customHeight="1">
      <c r="A221" s="47">
        <v>44545</v>
      </c>
      <c r="B221" s="51" t="s">
        <v>59</v>
      </c>
      <c r="C221" s="49" t="s">
        <v>294</v>
      </c>
      <c r="D221" s="95" t="s">
        <v>295</v>
      </c>
      <c r="E221" s="50" t="s">
        <v>26</v>
      </c>
      <c r="F221" s="38"/>
      <c r="G221" s="39">
        <f>3555757</f>
        <v>3555757</v>
      </c>
      <c r="H221" s="117">
        <f t="shared" si="23"/>
        <v>705407380</v>
      </c>
      <c r="I221" s="41" t="s">
        <v>61</v>
      </c>
    </row>
    <row r="222" spans="1:9" ht="15.75" customHeight="1">
      <c r="A222" s="47">
        <v>44545</v>
      </c>
      <c r="B222" s="27" t="s">
        <v>205</v>
      </c>
      <c r="C222" s="49" t="s">
        <v>294</v>
      </c>
      <c r="D222" s="95" t="s">
        <v>295</v>
      </c>
      <c r="E222" s="50" t="s">
        <v>26</v>
      </c>
      <c r="F222" s="38"/>
      <c r="G222" s="93">
        <f>3481392</f>
        <v>3481392</v>
      </c>
      <c r="H222" s="117">
        <f t="shared" si="23"/>
        <v>701925988</v>
      </c>
      <c r="I222" s="60" t="s">
        <v>206</v>
      </c>
    </row>
    <row r="223" spans="1:9" ht="15.75" customHeight="1">
      <c r="A223" s="47">
        <v>44545</v>
      </c>
      <c r="B223" s="37" t="s">
        <v>296</v>
      </c>
      <c r="C223" s="49" t="s">
        <v>294</v>
      </c>
      <c r="D223" s="95" t="s">
        <v>295</v>
      </c>
      <c r="E223" s="50" t="s">
        <v>26</v>
      </c>
      <c r="F223" s="38"/>
      <c r="G223" s="39">
        <f>2544567</f>
        <v>2544567</v>
      </c>
      <c r="H223" s="117">
        <f t="shared" si="23"/>
        <v>699381421</v>
      </c>
      <c r="I223" s="120" t="s">
        <v>230</v>
      </c>
    </row>
    <row r="224" spans="1:9" ht="15.75" customHeight="1">
      <c r="A224" s="47">
        <v>44545</v>
      </c>
      <c r="B224" s="37" t="s">
        <v>72</v>
      </c>
      <c r="C224" s="52" t="s">
        <v>297</v>
      </c>
      <c r="D224" s="95" t="s">
        <v>298</v>
      </c>
      <c r="E224" s="50" t="s">
        <v>26</v>
      </c>
      <c r="F224" s="38"/>
      <c r="G224" s="39">
        <f>570928</f>
        <v>570928</v>
      </c>
      <c r="H224" s="117">
        <f t="shared" si="23"/>
        <v>698810493</v>
      </c>
      <c r="I224" s="57" t="s">
        <v>75</v>
      </c>
    </row>
    <row r="225" spans="1:9" ht="15.75" customHeight="1">
      <c r="A225" s="47">
        <v>44545</v>
      </c>
      <c r="B225" s="37" t="s">
        <v>76</v>
      </c>
      <c r="C225" s="52" t="s">
        <v>297</v>
      </c>
      <c r="D225" s="95" t="s">
        <v>298</v>
      </c>
      <c r="E225" s="50" t="s">
        <v>26</v>
      </c>
      <c r="F225" s="38"/>
      <c r="G225" s="39">
        <f>971105</f>
        <v>971105</v>
      </c>
      <c r="H225" s="117">
        <f t="shared" si="23"/>
        <v>697839388</v>
      </c>
      <c r="I225" s="57" t="s">
        <v>77</v>
      </c>
    </row>
    <row r="226" spans="1:9" ht="15.75" customHeight="1">
      <c r="A226" s="47">
        <v>44545</v>
      </c>
      <c r="B226" s="40" t="s">
        <v>78</v>
      </c>
      <c r="C226" s="52" t="s">
        <v>297</v>
      </c>
      <c r="D226" s="95" t="s">
        <v>298</v>
      </c>
      <c r="E226" s="50" t="s">
        <v>26</v>
      </c>
      <c r="F226" s="38"/>
      <c r="G226" s="39">
        <f>998281</f>
        <v>998281</v>
      </c>
      <c r="H226" s="117">
        <f t="shared" si="23"/>
        <v>696841107</v>
      </c>
      <c r="I226" s="41" t="s">
        <v>79</v>
      </c>
    </row>
    <row r="227" spans="1:9" ht="15.75" customHeight="1">
      <c r="A227" s="47">
        <v>44545</v>
      </c>
      <c r="B227" s="37" t="s">
        <v>80</v>
      </c>
      <c r="C227" s="52" t="s">
        <v>297</v>
      </c>
      <c r="D227" s="28" t="s">
        <v>298</v>
      </c>
      <c r="E227" s="50" t="s">
        <v>26</v>
      </c>
      <c r="F227" s="38"/>
      <c r="G227" s="39">
        <f>365255</f>
        <v>365255</v>
      </c>
      <c r="H227" s="117">
        <f t="shared" si="23"/>
        <v>696475852</v>
      </c>
      <c r="I227" s="57" t="s">
        <v>81</v>
      </c>
    </row>
    <row r="228" spans="1:9" ht="15.75" customHeight="1">
      <c r="A228" s="47">
        <v>44545</v>
      </c>
      <c r="B228" s="58" t="s">
        <v>82</v>
      </c>
      <c r="C228" s="52" t="s">
        <v>297</v>
      </c>
      <c r="D228" s="95" t="s">
        <v>298</v>
      </c>
      <c r="E228" s="50" t="s">
        <v>26</v>
      </c>
      <c r="F228" s="38"/>
      <c r="G228" s="39">
        <f>1213422</f>
        <v>1213422</v>
      </c>
      <c r="H228" s="117">
        <f t="shared" si="23"/>
        <v>695262430</v>
      </c>
      <c r="I228" s="41" t="s">
        <v>83</v>
      </c>
    </row>
    <row r="229" spans="1:9" ht="15.75" customHeight="1">
      <c r="A229" s="47">
        <v>44545</v>
      </c>
      <c r="B229" s="37" t="s">
        <v>84</v>
      </c>
      <c r="C229" s="52" t="s">
        <v>297</v>
      </c>
      <c r="D229" s="95" t="s">
        <v>298</v>
      </c>
      <c r="E229" s="50" t="s">
        <v>26</v>
      </c>
      <c r="F229" s="38"/>
      <c r="G229" s="39">
        <f>550332</f>
        <v>550332</v>
      </c>
      <c r="H229" s="117">
        <f t="shared" si="23"/>
        <v>694712098</v>
      </c>
      <c r="I229" s="57" t="s">
        <v>85</v>
      </c>
    </row>
    <row r="230" spans="1:9" ht="15.75" customHeight="1">
      <c r="A230" s="47">
        <v>44545</v>
      </c>
      <c r="B230" s="37" t="s">
        <v>88</v>
      </c>
      <c r="C230" s="52" t="s">
        <v>299</v>
      </c>
      <c r="D230" s="95" t="s">
        <v>300</v>
      </c>
      <c r="E230" s="50" t="s">
        <v>26</v>
      </c>
      <c r="F230" s="38"/>
      <c r="G230" s="39">
        <f>2393828</f>
        <v>2393828</v>
      </c>
      <c r="H230" s="117">
        <f t="shared" si="23"/>
        <v>692318270</v>
      </c>
      <c r="I230" s="57" t="s">
        <v>91</v>
      </c>
    </row>
    <row r="231" spans="1:9" ht="15.75" customHeight="1">
      <c r="A231" s="47">
        <v>44545</v>
      </c>
      <c r="B231" s="37" t="s">
        <v>111</v>
      </c>
      <c r="C231" s="59" t="s">
        <v>301</v>
      </c>
      <c r="D231" s="95" t="s">
        <v>302</v>
      </c>
      <c r="E231" s="29" t="s">
        <v>26</v>
      </c>
      <c r="F231" s="38"/>
      <c r="G231" s="39">
        <f>1610000</f>
        <v>1610000</v>
      </c>
      <c r="H231" s="117">
        <f t="shared" si="23"/>
        <v>690708270</v>
      </c>
      <c r="I231" s="86" t="s">
        <v>303</v>
      </c>
    </row>
    <row r="232" spans="1:9" ht="15.75" customHeight="1">
      <c r="A232" s="47">
        <v>44545</v>
      </c>
      <c r="B232" s="37" t="s">
        <v>122</v>
      </c>
      <c r="C232" s="59" t="s">
        <v>304</v>
      </c>
      <c r="D232" s="95" t="s">
        <v>305</v>
      </c>
      <c r="E232" s="50" t="s">
        <v>26</v>
      </c>
      <c r="F232" s="38"/>
      <c r="G232" s="39">
        <f>230000</f>
        <v>230000</v>
      </c>
      <c r="H232" s="117">
        <f t="shared" si="23"/>
        <v>690478270</v>
      </c>
      <c r="I232" s="41" t="s">
        <v>61</v>
      </c>
    </row>
    <row r="233" spans="1:9" ht="15.75" customHeight="1">
      <c r="A233" s="47">
        <v>44545</v>
      </c>
      <c r="B233" s="37" t="s">
        <v>16</v>
      </c>
      <c r="C233" s="45" t="s">
        <v>306</v>
      </c>
      <c r="D233" s="95" t="s">
        <v>307</v>
      </c>
      <c r="E233" s="29" t="s">
        <v>19</v>
      </c>
      <c r="F233" s="38"/>
      <c r="G233" s="39">
        <f>5900</f>
        <v>5900</v>
      </c>
      <c r="H233" s="117">
        <f t="shared" si="23"/>
        <v>690472370</v>
      </c>
      <c r="I233" s="20" t="s">
        <v>20</v>
      </c>
    </row>
    <row r="234" spans="1:9" ht="33.75" customHeight="1">
      <c r="A234" s="47">
        <v>44550</v>
      </c>
      <c r="B234" s="37" t="s">
        <v>35</v>
      </c>
      <c r="C234" s="59" t="s">
        <v>308</v>
      </c>
      <c r="D234" s="95" t="s">
        <v>309</v>
      </c>
      <c r="E234" s="50" t="s">
        <v>26</v>
      </c>
      <c r="F234" s="38"/>
      <c r="G234" s="39">
        <f>949510</f>
        <v>949510</v>
      </c>
      <c r="H234" s="117">
        <f t="shared" si="23"/>
        <v>689522860</v>
      </c>
      <c r="I234" s="92" t="s">
        <v>310</v>
      </c>
    </row>
    <row r="235" spans="1:9" ht="36" customHeight="1">
      <c r="A235" s="47">
        <v>44550</v>
      </c>
      <c r="B235" s="37" t="s">
        <v>88</v>
      </c>
      <c r="C235" s="59" t="s">
        <v>308</v>
      </c>
      <c r="D235" s="28" t="s">
        <v>311</v>
      </c>
      <c r="E235" s="50" t="s">
        <v>26</v>
      </c>
      <c r="F235" s="38"/>
      <c r="G235" s="39">
        <f>687332</f>
        <v>687332</v>
      </c>
      <c r="H235" s="117">
        <f t="shared" si="23"/>
        <v>688835528</v>
      </c>
      <c r="I235" s="92" t="s">
        <v>312</v>
      </c>
    </row>
    <row r="236" spans="1:9" ht="15.75" customHeight="1">
      <c r="A236" s="47">
        <v>44550</v>
      </c>
      <c r="B236" s="82" t="s">
        <v>159</v>
      </c>
      <c r="C236" s="83" t="s">
        <v>313</v>
      </c>
      <c r="D236" s="95" t="s">
        <v>314</v>
      </c>
      <c r="E236" s="80">
        <v>9678937</v>
      </c>
      <c r="F236" s="38"/>
      <c r="G236" s="39">
        <f>525000</f>
        <v>525000</v>
      </c>
      <c r="H236" s="117">
        <f t="shared" si="23"/>
        <v>688310528</v>
      </c>
      <c r="I236" s="41" t="s">
        <v>162</v>
      </c>
    </row>
    <row r="237" spans="1:9" ht="15.75" customHeight="1">
      <c r="A237" s="25">
        <v>44561</v>
      </c>
      <c r="B237" s="52" t="s">
        <v>16</v>
      </c>
      <c r="C237" s="22" t="s">
        <v>315</v>
      </c>
      <c r="D237" s="28" t="s">
        <v>316</v>
      </c>
      <c r="E237" s="29" t="s">
        <v>19</v>
      </c>
      <c r="F237" s="18"/>
      <c r="G237" s="32">
        <f>6000+1080</f>
        <v>7080</v>
      </c>
      <c r="H237" s="117">
        <f t="shared" si="23"/>
        <v>688303448</v>
      </c>
      <c r="I237" s="126" t="s">
        <v>20</v>
      </c>
    </row>
    <row r="238" spans="1:9" ht="15.75" customHeight="1">
      <c r="A238" s="69"/>
      <c r="B238" s="124" t="s">
        <v>143</v>
      </c>
      <c r="C238" s="100"/>
      <c r="D238" s="72"/>
      <c r="E238" s="73"/>
      <c r="F238" s="101">
        <f t="shared" ref="F238:G238" si="25">SUM(F207:F237)</f>
        <v>0</v>
      </c>
      <c r="G238" s="101">
        <f t="shared" si="25"/>
        <v>33720290</v>
      </c>
      <c r="H238" s="101">
        <f>H237</f>
        <v>688303448</v>
      </c>
      <c r="I238" s="102"/>
    </row>
    <row r="239" spans="1:9" ht="15.75" customHeight="1">
      <c r="A239" s="69"/>
      <c r="B239" s="124" t="s">
        <v>217</v>
      </c>
      <c r="C239" s="71"/>
      <c r="D239" s="72"/>
      <c r="E239" s="73"/>
      <c r="F239" s="103">
        <f t="shared" ref="F239:H239" si="26">F238/655.957</f>
        <v>0</v>
      </c>
      <c r="G239" s="103">
        <f t="shared" si="26"/>
        <v>51406.250714604772</v>
      </c>
      <c r="H239" s="103">
        <f t="shared" si="26"/>
        <v>1049311.8420872099</v>
      </c>
      <c r="I239" s="71"/>
    </row>
    <row r="240" spans="1:9" ht="15.75" customHeight="1">
      <c r="A240" s="931"/>
      <c r="B240" s="932"/>
      <c r="C240" s="932"/>
      <c r="D240" s="932"/>
      <c r="E240" s="932"/>
      <c r="F240" s="932"/>
      <c r="G240" s="932"/>
      <c r="H240" s="932"/>
      <c r="I240" s="933"/>
    </row>
    <row r="241" spans="1:9" ht="15.75" customHeight="1">
      <c r="A241" s="75" t="s">
        <v>145</v>
      </c>
      <c r="B241" s="76"/>
      <c r="C241" s="934"/>
      <c r="D241" s="935"/>
      <c r="E241" s="935"/>
      <c r="F241" s="935"/>
      <c r="G241" s="936" t="s">
        <v>146</v>
      </c>
      <c r="H241" s="935"/>
      <c r="I241" s="937"/>
    </row>
    <row r="242" spans="1:9" ht="15.75" customHeight="1">
      <c r="A242" s="938"/>
      <c r="B242" s="939"/>
      <c r="C242" s="939"/>
      <c r="D242" s="939"/>
      <c r="E242" s="939"/>
      <c r="F242" s="939"/>
      <c r="G242" s="939"/>
      <c r="H242" s="939"/>
      <c r="I242" s="940"/>
    </row>
    <row r="243" spans="1:9" ht="15.75" customHeight="1">
      <c r="A243" s="941"/>
      <c r="B243" s="942"/>
      <c r="C243" s="942"/>
      <c r="D243" s="942"/>
      <c r="E243" s="942"/>
      <c r="F243" s="942"/>
      <c r="G243" s="942"/>
      <c r="H243" s="942"/>
      <c r="I243" s="943"/>
    </row>
    <row r="244" spans="1:9" ht="15.75" customHeight="1">
      <c r="A244" s="941"/>
      <c r="B244" s="942"/>
      <c r="C244" s="942"/>
      <c r="D244" s="942"/>
      <c r="E244" s="942"/>
      <c r="F244" s="942"/>
      <c r="G244" s="942"/>
      <c r="H244" s="942"/>
      <c r="I244" s="943"/>
    </row>
    <row r="245" spans="1:9" ht="15.75" customHeight="1">
      <c r="A245" s="944"/>
      <c r="B245" s="945"/>
      <c r="C245" s="945"/>
      <c r="D245" s="945"/>
      <c r="E245" s="945"/>
      <c r="F245" s="945"/>
      <c r="G245" s="945"/>
      <c r="H245" s="945"/>
      <c r="I245" s="946"/>
    </row>
    <row r="246" spans="1:9" ht="15.75" customHeight="1">
      <c r="A246" s="947" t="s">
        <v>147</v>
      </c>
      <c r="B246" s="948"/>
      <c r="C246" s="948"/>
      <c r="D246" s="948"/>
      <c r="E246" s="948"/>
      <c r="F246" s="948"/>
      <c r="G246" s="948"/>
      <c r="H246" s="948"/>
      <c r="I246" s="949"/>
    </row>
    <row r="247" spans="1:9" ht="15.75" customHeight="1"/>
    <row r="248" spans="1:9" ht="15.75" customHeight="1"/>
    <row r="249" spans="1:9" ht="15.75" customHeight="1"/>
    <row r="250" spans="1:9" ht="15.75" customHeight="1"/>
    <row r="251" spans="1:9" ht="15.75" customHeight="1"/>
    <row r="252" spans="1:9" ht="15.75" customHeight="1"/>
    <row r="253" spans="1:9" ht="15.75" customHeight="1"/>
    <row r="254" spans="1:9" ht="15.75" customHeight="1"/>
    <row r="255" spans="1:9" ht="15.75" customHeight="1"/>
    <row r="256" spans="1:9" ht="15.75" customHeight="1"/>
    <row r="257" spans="1:9" ht="15.75" customHeight="1"/>
    <row r="258" spans="1:9" ht="15.75" customHeight="1"/>
    <row r="259" spans="1:9" ht="15.75" customHeight="1">
      <c r="A259" s="47"/>
      <c r="B259" s="927" t="s">
        <v>317</v>
      </c>
      <c r="C259" s="928"/>
      <c r="D259" s="928"/>
      <c r="E259" s="928"/>
      <c r="F259" s="928"/>
      <c r="G259" s="928"/>
      <c r="H259" s="929"/>
      <c r="I259" s="120"/>
    </row>
    <row r="260" spans="1:9" ht="15.75" customHeight="1">
      <c r="A260" s="47"/>
      <c r="B260" s="930" t="s">
        <v>318</v>
      </c>
      <c r="C260" s="928"/>
      <c r="D260" s="928"/>
      <c r="E260" s="929"/>
      <c r="F260" s="38"/>
      <c r="G260" s="39"/>
      <c r="H260" s="125"/>
      <c r="I260" s="120"/>
    </row>
    <row r="261" spans="1:9" ht="15.75" customHeight="1">
      <c r="A261" s="47"/>
      <c r="B261" s="37"/>
      <c r="C261" s="12" t="s">
        <v>15</v>
      </c>
      <c r="D261" s="80"/>
      <c r="E261" s="80"/>
      <c r="F261" s="84"/>
      <c r="G261" s="84"/>
      <c r="H261" s="116">
        <f>H238</f>
        <v>688303448</v>
      </c>
      <c r="I261" s="120"/>
    </row>
    <row r="262" spans="1:9" ht="15.75" customHeight="1">
      <c r="A262" s="47">
        <v>44573</v>
      </c>
      <c r="B262" s="82" t="s">
        <v>159</v>
      </c>
      <c r="C262" s="83" t="s">
        <v>319</v>
      </c>
      <c r="D262" s="95" t="s">
        <v>320</v>
      </c>
      <c r="E262" s="127">
        <v>9678938</v>
      </c>
      <c r="F262" s="38"/>
      <c r="G262" s="39">
        <f>975000</f>
        <v>975000</v>
      </c>
      <c r="H262" s="117">
        <f t="shared" ref="H262:H283" si="27">H261+F262-G262</f>
        <v>687328448</v>
      </c>
      <c r="I262" s="60"/>
    </row>
    <row r="263" spans="1:9" ht="30.75" customHeight="1">
      <c r="A263" s="47">
        <v>44579</v>
      </c>
      <c r="B263" s="37" t="s">
        <v>321</v>
      </c>
      <c r="C263" s="87" t="s">
        <v>322</v>
      </c>
      <c r="D263" s="95" t="s">
        <v>323</v>
      </c>
      <c r="E263" s="127">
        <v>9678939</v>
      </c>
      <c r="F263" s="38"/>
      <c r="G263" s="39">
        <f>1230000</f>
        <v>1230000</v>
      </c>
      <c r="H263" s="117">
        <f t="shared" si="27"/>
        <v>686098448</v>
      </c>
      <c r="I263" s="41"/>
    </row>
    <row r="264" spans="1:9" ht="15.75" customHeight="1">
      <c r="A264" s="47">
        <v>44581</v>
      </c>
      <c r="B264" s="37" t="s">
        <v>35</v>
      </c>
      <c r="C264" s="49" t="s">
        <v>324</v>
      </c>
      <c r="D264" s="95" t="s">
        <v>325</v>
      </c>
      <c r="E264" s="50" t="s">
        <v>26</v>
      </c>
      <c r="F264" s="38"/>
      <c r="G264" s="39">
        <f t="shared" ref="G264:G266" si="28">(2737241-88500)</f>
        <v>2648741</v>
      </c>
      <c r="H264" s="117">
        <f t="shared" si="27"/>
        <v>683449707</v>
      </c>
      <c r="I264" s="36" t="s">
        <v>34</v>
      </c>
    </row>
    <row r="265" spans="1:9" ht="15.75" customHeight="1">
      <c r="A265" s="47">
        <v>44581</v>
      </c>
      <c r="B265" s="40" t="s">
        <v>38</v>
      </c>
      <c r="C265" s="49" t="s">
        <v>324</v>
      </c>
      <c r="D265" s="95" t="s">
        <v>325</v>
      </c>
      <c r="E265" s="50" t="s">
        <v>26</v>
      </c>
      <c r="F265" s="38"/>
      <c r="G265" s="39">
        <f t="shared" si="28"/>
        <v>2648741</v>
      </c>
      <c r="H265" s="117">
        <f t="shared" si="27"/>
        <v>680800966</v>
      </c>
      <c r="I265" s="41" t="s">
        <v>41</v>
      </c>
    </row>
    <row r="266" spans="1:9" ht="15.75" customHeight="1">
      <c r="A266" s="47">
        <v>44581</v>
      </c>
      <c r="B266" s="48" t="s">
        <v>31</v>
      </c>
      <c r="C266" s="49" t="s">
        <v>324</v>
      </c>
      <c r="D266" s="95" t="s">
        <v>325</v>
      </c>
      <c r="E266" s="50" t="s">
        <v>26</v>
      </c>
      <c r="F266" s="38"/>
      <c r="G266" s="39">
        <f t="shared" si="28"/>
        <v>2648741</v>
      </c>
      <c r="H266" s="117">
        <f t="shared" si="27"/>
        <v>678152225</v>
      </c>
      <c r="I266" s="36" t="s">
        <v>34</v>
      </c>
    </row>
    <row r="267" spans="1:9" ht="15.75" customHeight="1">
      <c r="A267" s="47">
        <v>44581</v>
      </c>
      <c r="B267" s="37" t="s">
        <v>42</v>
      </c>
      <c r="C267" s="49" t="s">
        <v>324</v>
      </c>
      <c r="D267" s="95" t="s">
        <v>325</v>
      </c>
      <c r="E267" s="50" t="s">
        <v>26</v>
      </c>
      <c r="F267" s="38"/>
      <c r="G267" s="39">
        <f>(1737871-88500)</f>
        <v>1649371</v>
      </c>
      <c r="H267" s="117">
        <f t="shared" si="27"/>
        <v>676502854</v>
      </c>
      <c r="I267" s="41" t="s">
        <v>45</v>
      </c>
    </row>
    <row r="268" spans="1:9" ht="15.75" customHeight="1">
      <c r="A268" s="47">
        <v>44581</v>
      </c>
      <c r="B268" s="51" t="s">
        <v>59</v>
      </c>
      <c r="C268" s="49" t="s">
        <v>324</v>
      </c>
      <c r="D268" s="95" t="s">
        <v>325</v>
      </c>
      <c r="E268" s="50" t="s">
        <v>26</v>
      </c>
      <c r="F268" s="38"/>
      <c r="G268" s="39">
        <f>(3555757-88500)</f>
        <v>3467257</v>
      </c>
      <c r="H268" s="117">
        <f t="shared" si="27"/>
        <v>673035597</v>
      </c>
      <c r="I268" s="41" t="s">
        <v>61</v>
      </c>
    </row>
    <row r="269" spans="1:9" ht="15.75" customHeight="1">
      <c r="A269" s="47">
        <v>44581</v>
      </c>
      <c r="B269" s="27" t="s">
        <v>205</v>
      </c>
      <c r="C269" s="49" t="s">
        <v>324</v>
      </c>
      <c r="D269" s="95" t="s">
        <v>325</v>
      </c>
      <c r="E269" s="50" t="s">
        <v>26</v>
      </c>
      <c r="F269" s="38"/>
      <c r="G269" s="93">
        <f>(3481392-88500)</f>
        <v>3392892</v>
      </c>
      <c r="H269" s="117">
        <f t="shared" si="27"/>
        <v>669642705</v>
      </c>
      <c r="I269" s="60" t="s">
        <v>206</v>
      </c>
    </row>
    <row r="270" spans="1:9" ht="15.75" customHeight="1">
      <c r="A270" s="47">
        <v>44581</v>
      </c>
      <c r="B270" s="37" t="s">
        <v>296</v>
      </c>
      <c r="C270" s="49" t="s">
        <v>324</v>
      </c>
      <c r="D270" s="95" t="s">
        <v>325</v>
      </c>
      <c r="E270" s="50" t="s">
        <v>26</v>
      </c>
      <c r="F270" s="38"/>
      <c r="G270" s="39">
        <f>(2544567-88500)</f>
        <v>2456067</v>
      </c>
      <c r="H270" s="117">
        <f t="shared" si="27"/>
        <v>667186638</v>
      </c>
      <c r="I270" s="120" t="s">
        <v>326</v>
      </c>
    </row>
    <row r="271" spans="1:9" ht="15.75" customHeight="1">
      <c r="A271" s="47">
        <v>44581</v>
      </c>
      <c r="B271" s="37" t="s">
        <v>72</v>
      </c>
      <c r="C271" s="52" t="s">
        <v>327</v>
      </c>
      <c r="D271" s="95" t="s">
        <v>328</v>
      </c>
      <c r="E271" s="50" t="s">
        <v>26</v>
      </c>
      <c r="F271" s="38"/>
      <c r="G271" s="39">
        <f>(570928-88500)</f>
        <v>482428</v>
      </c>
      <c r="H271" s="117">
        <f t="shared" si="27"/>
        <v>666704210</v>
      </c>
      <c r="I271" s="57" t="s">
        <v>75</v>
      </c>
    </row>
    <row r="272" spans="1:9" ht="15.75" customHeight="1">
      <c r="A272" s="47">
        <v>44581</v>
      </c>
      <c r="B272" s="37" t="s">
        <v>76</v>
      </c>
      <c r="C272" s="52" t="s">
        <v>327</v>
      </c>
      <c r="D272" s="95" t="s">
        <v>328</v>
      </c>
      <c r="E272" s="50" t="s">
        <v>26</v>
      </c>
      <c r="F272" s="38"/>
      <c r="G272" s="39">
        <f>(971105-88500)</f>
        <v>882605</v>
      </c>
      <c r="H272" s="117">
        <f t="shared" si="27"/>
        <v>665821605</v>
      </c>
      <c r="I272" s="57" t="s">
        <v>77</v>
      </c>
    </row>
    <row r="273" spans="1:11" ht="15.75" customHeight="1">
      <c r="A273" s="47">
        <v>44581</v>
      </c>
      <c r="B273" s="40" t="s">
        <v>78</v>
      </c>
      <c r="C273" s="52" t="s">
        <v>327</v>
      </c>
      <c r="D273" s="95" t="s">
        <v>328</v>
      </c>
      <c r="E273" s="50" t="s">
        <v>26</v>
      </c>
      <c r="F273" s="38"/>
      <c r="G273" s="39">
        <f>(998281-88500)</f>
        <v>909781</v>
      </c>
      <c r="H273" s="117">
        <f t="shared" si="27"/>
        <v>664911824</v>
      </c>
      <c r="I273" s="41" t="s">
        <v>79</v>
      </c>
    </row>
    <row r="274" spans="1:11" ht="15.75" customHeight="1">
      <c r="A274" s="47">
        <v>44581</v>
      </c>
      <c r="B274" s="37" t="s">
        <v>80</v>
      </c>
      <c r="C274" s="52" t="s">
        <v>327</v>
      </c>
      <c r="D274" s="28" t="s">
        <v>328</v>
      </c>
      <c r="E274" s="50" t="s">
        <v>26</v>
      </c>
      <c r="F274" s="38"/>
      <c r="G274" s="39">
        <f>(365255-88500)</f>
        <v>276755</v>
      </c>
      <c r="H274" s="117">
        <f t="shared" si="27"/>
        <v>664635069</v>
      </c>
      <c r="I274" s="57" t="s">
        <v>81</v>
      </c>
    </row>
    <row r="275" spans="1:11" ht="15.75" customHeight="1">
      <c r="A275" s="47">
        <v>44581</v>
      </c>
      <c r="B275" s="58" t="s">
        <v>82</v>
      </c>
      <c r="C275" s="52" t="s">
        <v>327</v>
      </c>
      <c r="D275" s="95" t="s">
        <v>328</v>
      </c>
      <c r="E275" s="50" t="s">
        <v>26</v>
      </c>
      <c r="F275" s="38"/>
      <c r="G275" s="39">
        <f>(1213422-88500)</f>
        <v>1124922</v>
      </c>
      <c r="H275" s="117">
        <f t="shared" si="27"/>
        <v>663510147</v>
      </c>
      <c r="I275" s="41" t="s">
        <v>83</v>
      </c>
    </row>
    <row r="276" spans="1:11" ht="15.75" customHeight="1">
      <c r="A276" s="47">
        <v>44581</v>
      </c>
      <c r="B276" s="37" t="s">
        <v>84</v>
      </c>
      <c r="C276" s="52" t="s">
        <v>327</v>
      </c>
      <c r="D276" s="95" t="s">
        <v>328</v>
      </c>
      <c r="E276" s="50" t="s">
        <v>26</v>
      </c>
      <c r="F276" s="38"/>
      <c r="G276" s="39">
        <f>(550332-88500)</f>
        <v>461832</v>
      </c>
      <c r="H276" s="117">
        <f t="shared" si="27"/>
        <v>663048315</v>
      </c>
      <c r="I276" s="57" t="s">
        <v>85</v>
      </c>
    </row>
    <row r="277" spans="1:11" ht="15.75" customHeight="1">
      <c r="A277" s="47">
        <v>44581</v>
      </c>
      <c r="B277" s="37" t="s">
        <v>88</v>
      </c>
      <c r="C277" s="52" t="s">
        <v>329</v>
      </c>
      <c r="D277" s="28" t="s">
        <v>330</v>
      </c>
      <c r="E277" s="50" t="s">
        <v>26</v>
      </c>
      <c r="F277" s="38"/>
      <c r="G277" s="39">
        <f>(2393828-88500)</f>
        <v>2305328</v>
      </c>
      <c r="H277" s="117">
        <f t="shared" si="27"/>
        <v>660742987</v>
      </c>
      <c r="I277" s="57" t="s">
        <v>91</v>
      </c>
    </row>
    <row r="278" spans="1:11" ht="15.75" customHeight="1">
      <c r="A278" s="47">
        <v>44582</v>
      </c>
      <c r="B278" s="37" t="s">
        <v>111</v>
      </c>
      <c r="C278" s="59" t="s">
        <v>331</v>
      </c>
      <c r="D278" s="28" t="s">
        <v>332</v>
      </c>
      <c r="E278" s="29" t="s">
        <v>26</v>
      </c>
      <c r="F278" s="38"/>
      <c r="G278" s="39">
        <f>1610000</f>
        <v>1610000</v>
      </c>
      <c r="H278" s="117">
        <f t="shared" si="27"/>
        <v>659132987</v>
      </c>
      <c r="I278" s="86" t="s">
        <v>333</v>
      </c>
    </row>
    <row r="279" spans="1:11" ht="15.75" customHeight="1">
      <c r="A279" s="47">
        <v>44582</v>
      </c>
      <c r="B279" s="37" t="s">
        <v>122</v>
      </c>
      <c r="C279" s="59" t="s">
        <v>334</v>
      </c>
      <c r="D279" s="28" t="s">
        <v>335</v>
      </c>
      <c r="E279" s="50" t="s">
        <v>26</v>
      </c>
      <c r="F279" s="38"/>
      <c r="G279" s="39">
        <f>230000</f>
        <v>230000</v>
      </c>
      <c r="H279" s="117">
        <f t="shared" si="27"/>
        <v>658902987</v>
      </c>
      <c r="I279" s="41" t="s">
        <v>61</v>
      </c>
    </row>
    <row r="280" spans="1:11" ht="15.75" customHeight="1">
      <c r="A280" s="47">
        <v>44582</v>
      </c>
      <c r="B280" s="37" t="s">
        <v>16</v>
      </c>
      <c r="C280" s="45" t="s">
        <v>336</v>
      </c>
      <c r="D280" s="28" t="s">
        <v>337</v>
      </c>
      <c r="E280" s="29" t="s">
        <v>19</v>
      </c>
      <c r="F280" s="38"/>
      <c r="G280" s="39">
        <f>5900</f>
        <v>5900</v>
      </c>
      <c r="H280" s="117">
        <f t="shared" si="27"/>
        <v>658897087</v>
      </c>
      <c r="I280" s="20" t="s">
        <v>20</v>
      </c>
    </row>
    <row r="281" spans="1:11" ht="15.75" customHeight="1">
      <c r="A281" s="47">
        <v>44582</v>
      </c>
      <c r="B281" s="37" t="s">
        <v>219</v>
      </c>
      <c r="C281" s="58" t="s">
        <v>338</v>
      </c>
      <c r="D281" s="28" t="s">
        <v>339</v>
      </c>
      <c r="E281" s="127">
        <v>9678940</v>
      </c>
      <c r="F281" s="38"/>
      <c r="G281" s="39">
        <f>1817136</f>
        <v>1817136</v>
      </c>
      <c r="H281" s="117">
        <f t="shared" si="27"/>
        <v>657079951</v>
      </c>
      <c r="I281" s="86" t="s">
        <v>340</v>
      </c>
    </row>
    <row r="282" spans="1:11" ht="15.75" customHeight="1">
      <c r="A282" s="47">
        <v>44586</v>
      </c>
      <c r="B282" s="51" t="s">
        <v>341</v>
      </c>
      <c r="C282" s="49" t="s">
        <v>342</v>
      </c>
      <c r="D282" s="28" t="s">
        <v>343</v>
      </c>
      <c r="E282" s="127">
        <v>9678941</v>
      </c>
      <c r="F282" s="38"/>
      <c r="G282" s="39">
        <f>1604138</f>
        <v>1604138</v>
      </c>
      <c r="H282" s="117">
        <f t="shared" si="27"/>
        <v>655475813</v>
      </c>
      <c r="I282" s="41" t="s">
        <v>344</v>
      </c>
    </row>
    <row r="283" spans="1:11" ht="15.75" customHeight="1">
      <c r="A283" s="25">
        <v>44592</v>
      </c>
      <c r="B283" s="52" t="s">
        <v>16</v>
      </c>
      <c r="C283" s="22" t="s">
        <v>345</v>
      </c>
      <c r="D283" s="28" t="s">
        <v>346</v>
      </c>
      <c r="E283" s="29" t="s">
        <v>19</v>
      </c>
      <c r="F283" s="18"/>
      <c r="G283" s="32">
        <f>6000+1080</f>
        <v>7080</v>
      </c>
      <c r="H283" s="117">
        <f t="shared" si="27"/>
        <v>655468733</v>
      </c>
      <c r="I283" s="20" t="s">
        <v>20</v>
      </c>
    </row>
    <row r="284" spans="1:11" ht="15.75" customHeight="1">
      <c r="A284" s="69"/>
      <c r="B284" s="124" t="s">
        <v>143</v>
      </c>
      <c r="C284" s="100"/>
      <c r="D284" s="72"/>
      <c r="E284" s="73"/>
      <c r="F284" s="101">
        <f>SUM(F253:F283)</f>
        <v>0</v>
      </c>
      <c r="G284" s="101">
        <f>SUM(G262:G283)</f>
        <v>32834715</v>
      </c>
      <c r="H284" s="101">
        <f>H283</f>
        <v>655468733</v>
      </c>
      <c r="I284" s="102"/>
    </row>
    <row r="285" spans="1:11" ht="15.75" customHeight="1">
      <c r="A285" s="69"/>
      <c r="B285" s="124" t="s">
        <v>217</v>
      </c>
      <c r="C285" s="71"/>
      <c r="D285" s="72"/>
      <c r="E285" s="73"/>
      <c r="F285" s="103">
        <f t="shared" ref="F285:H285" si="29">F284/655.957</f>
        <v>0</v>
      </c>
      <c r="G285" s="103">
        <f t="shared" si="29"/>
        <v>50056.20033020457</v>
      </c>
      <c r="H285" s="103">
        <f t="shared" si="29"/>
        <v>999255.64175700548</v>
      </c>
      <c r="I285" s="71"/>
      <c r="K285" s="88"/>
    </row>
    <row r="286" spans="1:11" ht="15.75" customHeight="1">
      <c r="A286" s="931"/>
      <c r="B286" s="932"/>
      <c r="C286" s="932"/>
      <c r="D286" s="932"/>
      <c r="E286" s="932"/>
      <c r="F286" s="932"/>
      <c r="G286" s="932"/>
      <c r="H286" s="932"/>
      <c r="I286" s="933"/>
    </row>
    <row r="287" spans="1:11" ht="15.75" customHeight="1">
      <c r="A287" s="75" t="s">
        <v>145</v>
      </c>
      <c r="B287" s="76"/>
      <c r="C287" s="934"/>
      <c r="D287" s="935"/>
      <c r="E287" s="935"/>
      <c r="F287" s="935"/>
      <c r="G287" s="936" t="s">
        <v>146</v>
      </c>
      <c r="H287" s="935"/>
      <c r="I287" s="937"/>
    </row>
    <row r="288" spans="1:11" ht="15.75" customHeight="1">
      <c r="A288" s="938"/>
      <c r="B288" s="939"/>
      <c r="C288" s="939"/>
      <c r="D288" s="939"/>
      <c r="E288" s="939"/>
      <c r="F288" s="939"/>
      <c r="G288" s="939"/>
      <c r="H288" s="939"/>
      <c r="I288" s="940"/>
    </row>
    <row r="289" spans="1:9" ht="15.75" customHeight="1">
      <c r="A289" s="941"/>
      <c r="B289" s="942"/>
      <c r="C289" s="942"/>
      <c r="D289" s="942"/>
      <c r="E289" s="942"/>
      <c r="F289" s="942"/>
      <c r="G289" s="942"/>
      <c r="H289" s="942"/>
      <c r="I289" s="943"/>
    </row>
    <row r="290" spans="1:9" ht="15.75" customHeight="1">
      <c r="A290" s="941"/>
      <c r="B290" s="942"/>
      <c r="C290" s="942"/>
      <c r="D290" s="942"/>
      <c r="E290" s="942"/>
      <c r="F290" s="942"/>
      <c r="G290" s="942"/>
      <c r="H290" s="942"/>
      <c r="I290" s="943"/>
    </row>
    <row r="291" spans="1:9" ht="15.75" customHeight="1">
      <c r="A291" s="944"/>
      <c r="B291" s="945"/>
      <c r="C291" s="945"/>
      <c r="D291" s="945"/>
      <c r="E291" s="945"/>
      <c r="F291" s="945"/>
      <c r="G291" s="945"/>
      <c r="H291" s="945"/>
      <c r="I291" s="946"/>
    </row>
    <row r="292" spans="1:9" ht="15.75" customHeight="1">
      <c r="A292" s="947" t="s">
        <v>147</v>
      </c>
      <c r="B292" s="948"/>
      <c r="C292" s="948"/>
      <c r="D292" s="948"/>
      <c r="E292" s="948"/>
      <c r="F292" s="948"/>
      <c r="G292" s="948"/>
      <c r="H292" s="948"/>
      <c r="I292" s="949"/>
    </row>
    <row r="293" spans="1:9" ht="15.75" customHeight="1"/>
    <row r="294" spans="1:9" ht="15.75" customHeight="1"/>
    <row r="295" spans="1:9" ht="15.75" customHeight="1"/>
    <row r="296" spans="1:9" ht="15.75" customHeight="1"/>
    <row r="297" spans="1:9" ht="15.75" customHeight="1"/>
    <row r="298" spans="1:9" ht="15.75" customHeight="1"/>
    <row r="299" spans="1:9" ht="15.75" customHeight="1"/>
    <row r="300" spans="1:9" ht="15.75" customHeight="1"/>
    <row r="301" spans="1:9" ht="15.75" customHeight="1"/>
    <row r="302" spans="1:9" ht="15.75" customHeight="1"/>
    <row r="303" spans="1:9" ht="15.75" customHeight="1"/>
    <row r="304" spans="1:9"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F9:H9"/>
    <mergeCell ref="I9:I10"/>
    <mergeCell ref="A7:I7"/>
    <mergeCell ref="A8:I8"/>
    <mergeCell ref="A9:A10"/>
    <mergeCell ref="B9:B10"/>
    <mergeCell ref="C9:C10"/>
    <mergeCell ref="D9:D10"/>
    <mergeCell ref="E9:E10"/>
    <mergeCell ref="B11:E11"/>
    <mergeCell ref="A93:I93"/>
    <mergeCell ref="C94:F94"/>
    <mergeCell ref="G94:I94"/>
    <mergeCell ref="A95:I97"/>
    <mergeCell ref="A98:I98"/>
    <mergeCell ref="A99:I104"/>
    <mergeCell ref="A105:I106"/>
    <mergeCell ref="B108:E108"/>
    <mergeCell ref="C148:F148"/>
    <mergeCell ref="G148:I148"/>
    <mergeCell ref="A149:I150"/>
    <mergeCell ref="A151:I151"/>
    <mergeCell ref="A152:I160"/>
    <mergeCell ref="B161:E161"/>
    <mergeCell ref="A199:I199"/>
    <mergeCell ref="C200:F200"/>
    <mergeCell ref="G200:I200"/>
    <mergeCell ref="A201:I204"/>
    <mergeCell ref="A205:I205"/>
    <mergeCell ref="B207:E207"/>
    <mergeCell ref="A286:I286"/>
    <mergeCell ref="C287:F287"/>
    <mergeCell ref="G287:I287"/>
    <mergeCell ref="A288:I291"/>
    <mergeCell ref="A292:I292"/>
    <mergeCell ref="B259:H259"/>
    <mergeCell ref="B260:E260"/>
    <mergeCell ref="A240:I240"/>
    <mergeCell ref="C241:F241"/>
    <mergeCell ref="G241:I241"/>
    <mergeCell ref="A242:I245"/>
    <mergeCell ref="A246:I246"/>
  </mergeCells>
  <pageMargins left="0" right="0" top="0.74803149606299213" bottom="0.74803149606299213" header="0" footer="0"/>
  <pageSetup paperSize="9" orientation="landscape"/>
  <headerFooter>
    <oddHeader>&amp;CJournal Banque BOA-ACMAD/ClimSA GFCS</oddHeader>
    <oddFooter>&amp;CPage &amp;P 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000"/>
  <sheetViews>
    <sheetView workbookViewId="0">
      <pane ySplit="2" topLeftCell="A3" activePane="bottomLeft" state="frozen"/>
      <selection pane="bottomLeft" activeCell="B4" sqref="B4"/>
    </sheetView>
  </sheetViews>
  <sheetFormatPr defaultColWidth="14.42578125" defaultRowHeight="15" customHeight="1"/>
  <cols>
    <col min="1" max="1" width="58.42578125" customWidth="1"/>
    <col min="2" max="2" width="11.7109375" customWidth="1"/>
    <col min="3" max="3" width="9.28515625" customWidth="1"/>
    <col min="4" max="4" width="11.5703125" customWidth="1"/>
    <col min="5" max="5" width="12.28515625" customWidth="1"/>
    <col min="6" max="6" width="11.28515625" hidden="1" customWidth="1"/>
    <col min="7" max="7" width="9.42578125" hidden="1" customWidth="1"/>
    <col min="8" max="8" width="11.85546875" hidden="1" customWidth="1"/>
    <col min="9" max="9" width="14.42578125" hidden="1" customWidth="1"/>
    <col min="10" max="10" width="35.85546875" hidden="1" customWidth="1"/>
    <col min="11" max="11" width="24.7109375" hidden="1" customWidth="1"/>
    <col min="12" max="12" width="26.5703125" hidden="1" customWidth="1"/>
    <col min="13" max="13" width="12.140625" hidden="1" customWidth="1"/>
    <col min="14" max="15" width="8.85546875" hidden="1" customWidth="1"/>
    <col min="16" max="16" width="8.7109375" customWidth="1"/>
    <col min="17" max="17" width="10" customWidth="1"/>
    <col min="18" max="28" width="8.85546875" customWidth="1"/>
    <col min="29" max="29" width="14.42578125" customWidth="1"/>
  </cols>
  <sheetData>
    <row r="1" spans="1:29" ht="51.75" customHeight="1">
      <c r="A1" s="262" t="s">
        <v>918</v>
      </c>
      <c r="B1" s="1011" t="s">
        <v>726</v>
      </c>
      <c r="C1" s="935"/>
      <c r="D1" s="935"/>
      <c r="E1" s="958"/>
      <c r="F1" s="1012" t="s">
        <v>919</v>
      </c>
      <c r="G1" s="935"/>
      <c r="H1" s="935"/>
      <c r="I1" s="958"/>
      <c r="J1" s="311" t="s">
        <v>727</v>
      </c>
      <c r="K1" s="190" t="s">
        <v>728</v>
      </c>
      <c r="L1" s="210" t="s">
        <v>729</v>
      </c>
      <c r="M1" s="210"/>
      <c r="N1" s="210"/>
      <c r="O1" s="210"/>
      <c r="P1" s="1013" t="s">
        <v>920</v>
      </c>
      <c r="Q1" s="935"/>
      <c r="R1" s="958"/>
      <c r="S1" s="1013" t="s">
        <v>921</v>
      </c>
      <c r="T1" s="935"/>
      <c r="U1" s="958"/>
      <c r="V1" s="199"/>
      <c r="W1" s="199"/>
      <c r="X1" s="199"/>
      <c r="Y1" s="199"/>
      <c r="Z1" s="199"/>
      <c r="AA1" s="199"/>
      <c r="AB1" s="199"/>
      <c r="AC1" s="309"/>
    </row>
    <row r="2" spans="1:29" ht="48" customHeight="1">
      <c r="A2" s="264" t="s">
        <v>732</v>
      </c>
      <c r="B2" s="264" t="s">
        <v>922</v>
      </c>
      <c r="C2" s="265" t="s">
        <v>733</v>
      </c>
      <c r="D2" s="264" t="s">
        <v>734</v>
      </c>
      <c r="E2" s="264" t="s">
        <v>923</v>
      </c>
      <c r="F2" s="312" t="s">
        <v>735</v>
      </c>
      <c r="G2" s="313" t="s">
        <v>733</v>
      </c>
      <c r="H2" s="314" t="s">
        <v>734</v>
      </c>
      <c r="I2" s="314" t="s">
        <v>736</v>
      </c>
      <c r="J2" s="208"/>
      <c r="K2" s="315"/>
      <c r="L2" s="208"/>
      <c r="M2" s="208"/>
      <c r="N2" s="208"/>
      <c r="O2" s="208"/>
      <c r="P2" s="265" t="s">
        <v>733</v>
      </c>
      <c r="Q2" s="264" t="s">
        <v>734</v>
      </c>
      <c r="R2" s="264" t="s">
        <v>924</v>
      </c>
      <c r="S2" s="265" t="s">
        <v>733</v>
      </c>
      <c r="T2" s="264" t="s">
        <v>734</v>
      </c>
      <c r="U2" s="264" t="s">
        <v>925</v>
      </c>
      <c r="V2" s="199"/>
      <c r="W2" s="199"/>
      <c r="X2" s="199"/>
      <c r="Y2" s="199"/>
      <c r="Z2" s="199"/>
      <c r="AA2" s="199"/>
      <c r="AB2" s="199"/>
      <c r="AC2" s="309"/>
    </row>
    <row r="3" spans="1:29" ht="15" customHeight="1">
      <c r="A3" s="277" t="s">
        <v>743</v>
      </c>
      <c r="B3" s="275"/>
      <c r="C3" s="278"/>
      <c r="D3" s="269"/>
      <c r="E3" s="269"/>
      <c r="F3" s="316"/>
      <c r="G3" s="316"/>
      <c r="H3" s="316"/>
      <c r="I3" s="316" t="e">
        <f>I5+I13</f>
        <v>#VALUE!</v>
      </c>
      <c r="J3" s="208"/>
      <c r="K3" s="315"/>
      <c r="L3" s="208"/>
      <c r="M3" s="208"/>
      <c r="N3" s="208"/>
      <c r="O3" s="208"/>
      <c r="P3" s="208"/>
      <c r="Q3" s="208"/>
      <c r="R3" s="208"/>
      <c r="S3" s="208"/>
      <c r="T3" s="208"/>
      <c r="U3" s="208"/>
      <c r="V3" s="199"/>
      <c r="W3" s="199"/>
      <c r="X3" s="199"/>
      <c r="Y3" s="199"/>
      <c r="Z3" s="199"/>
      <c r="AA3" s="199"/>
      <c r="AB3" s="199"/>
      <c r="AC3" s="309"/>
    </row>
    <row r="4" spans="1:29" ht="30" customHeight="1">
      <c r="A4" s="277" t="s">
        <v>926</v>
      </c>
      <c r="B4" s="266"/>
      <c r="C4" s="267"/>
      <c r="D4" s="268"/>
      <c r="E4" s="268"/>
      <c r="F4" s="317"/>
      <c r="G4" s="318"/>
      <c r="H4" s="318"/>
      <c r="I4" s="316"/>
      <c r="J4" s="208"/>
      <c r="K4" s="315"/>
      <c r="L4" s="208"/>
      <c r="M4" s="208"/>
      <c r="N4" s="208"/>
      <c r="O4" s="208"/>
      <c r="P4" s="208"/>
      <c r="Q4" s="208"/>
      <c r="R4" s="208"/>
      <c r="S4" s="208"/>
      <c r="T4" s="208"/>
      <c r="U4" s="208"/>
      <c r="V4" s="199"/>
      <c r="W4" s="199"/>
      <c r="X4" s="199"/>
      <c r="Y4" s="199"/>
      <c r="Z4" s="199"/>
      <c r="AA4" s="199"/>
      <c r="AB4" s="199"/>
      <c r="AC4" s="309"/>
    </row>
    <row r="5" spans="1:29" ht="28.5" customHeight="1">
      <c r="A5" s="277" t="s">
        <v>744</v>
      </c>
      <c r="B5" s="275"/>
      <c r="C5" s="278"/>
      <c r="D5" s="269"/>
      <c r="E5" s="269" t="e">
        <f>SUM(E6:E12)</f>
        <v>#VALUE!</v>
      </c>
      <c r="F5" s="316"/>
      <c r="G5" s="316"/>
      <c r="H5" s="316"/>
      <c r="I5" s="316" t="e">
        <f>SUM(I6:I8)</f>
        <v>#VALUE!</v>
      </c>
      <c r="J5" s="208"/>
      <c r="K5" s="315"/>
      <c r="L5" s="319" t="s">
        <v>927</v>
      </c>
      <c r="M5" s="208"/>
      <c r="N5" s="208"/>
      <c r="O5" s="208"/>
      <c r="P5" s="208"/>
      <c r="Q5" s="208"/>
      <c r="R5" s="208"/>
      <c r="S5" s="208"/>
      <c r="T5" s="208"/>
      <c r="U5" s="208"/>
      <c r="V5" s="199"/>
      <c r="W5" s="199"/>
      <c r="X5" s="199"/>
      <c r="Y5" s="199"/>
      <c r="Z5" s="199"/>
      <c r="AA5" s="199"/>
      <c r="AB5" s="199"/>
      <c r="AC5" s="309"/>
    </row>
    <row r="6" spans="1:29" ht="28.5" customHeight="1">
      <c r="A6" s="270" t="s">
        <v>437</v>
      </c>
      <c r="B6" s="266" t="s">
        <v>745</v>
      </c>
      <c r="C6" s="271">
        <f>4*12</f>
        <v>48</v>
      </c>
      <c r="D6" s="268" t="str">
        <f t="shared" ref="D6:D12" si="0">K6</f>
        <v>#ERROR!</v>
      </c>
      <c r="E6" s="268" t="e">
        <f t="shared" ref="E6:E8" si="1">C6*D6</f>
        <v>#VALUE!</v>
      </c>
      <c r="F6" s="320" t="s">
        <v>745</v>
      </c>
      <c r="G6" s="318">
        <f t="shared" ref="G6:G7" si="2">C6/4</f>
        <v>12</v>
      </c>
      <c r="H6" s="318" t="str">
        <f t="shared" ref="H6:H12" si="3">D6</f>
        <v>#ERROR!</v>
      </c>
      <c r="I6" s="316" t="e">
        <f t="shared" ref="I6:I9" si="4">G6*H6</f>
        <v>#VALUE!</v>
      </c>
      <c r="J6" s="208" t="s">
        <v>746</v>
      </c>
      <c r="K6" s="315" t="s">
        <v>1293</v>
      </c>
      <c r="L6" s="240" t="s">
        <v>747</v>
      </c>
      <c r="M6" s="208"/>
      <c r="N6" s="319">
        <f>655.957</f>
        <v>655.95699999999999</v>
      </c>
      <c r="O6" s="208"/>
      <c r="P6" s="208"/>
      <c r="Q6" s="208"/>
      <c r="R6" s="208"/>
      <c r="S6" s="208"/>
      <c r="T6" s="208"/>
      <c r="U6" s="208"/>
      <c r="V6" s="199"/>
      <c r="W6" s="199"/>
      <c r="X6" s="199"/>
      <c r="Y6" s="199"/>
      <c r="Z6" s="199"/>
      <c r="AA6" s="199"/>
      <c r="AB6" s="199"/>
      <c r="AC6" s="309"/>
    </row>
    <row r="7" spans="1:29" ht="13.5" customHeight="1">
      <c r="A7" s="270" t="s">
        <v>438</v>
      </c>
      <c r="B7" s="266" t="s">
        <v>745</v>
      </c>
      <c r="C7" s="271">
        <f>C6+12</f>
        <v>60</v>
      </c>
      <c r="D7" s="268" t="str">
        <f t="shared" si="0"/>
        <v>#ERROR!</v>
      </c>
      <c r="E7" s="268" t="e">
        <f t="shared" si="1"/>
        <v>#VALUE!</v>
      </c>
      <c r="F7" s="320" t="s">
        <v>745</v>
      </c>
      <c r="G7" s="318">
        <f t="shared" si="2"/>
        <v>15</v>
      </c>
      <c r="H7" s="318" t="str">
        <f t="shared" si="3"/>
        <v>#ERROR!</v>
      </c>
      <c r="I7" s="316" t="e">
        <f t="shared" si="4"/>
        <v>#VALUE!</v>
      </c>
      <c r="J7" s="208" t="s">
        <v>748</v>
      </c>
      <c r="K7" s="315" t="s">
        <v>1293</v>
      </c>
      <c r="L7" s="208"/>
      <c r="M7" s="208"/>
      <c r="N7" s="208"/>
      <c r="O7" s="208"/>
      <c r="P7" s="208"/>
      <c r="Q7" s="208"/>
      <c r="R7" s="208"/>
      <c r="S7" s="208"/>
      <c r="T7" s="208"/>
      <c r="U7" s="208"/>
      <c r="V7" s="199"/>
      <c r="W7" s="199"/>
      <c r="X7" s="199"/>
      <c r="Y7" s="199"/>
      <c r="Z7" s="199"/>
      <c r="AA7" s="199"/>
      <c r="AB7" s="199"/>
      <c r="AC7" s="309"/>
    </row>
    <row r="8" spans="1:29" ht="13.5" customHeight="1">
      <c r="A8" s="270" t="s">
        <v>81</v>
      </c>
      <c r="B8" s="266" t="s">
        <v>745</v>
      </c>
      <c r="C8" s="271">
        <f>12*4</f>
        <v>48</v>
      </c>
      <c r="D8" s="268" t="str">
        <f t="shared" si="0"/>
        <v>#ERROR!</v>
      </c>
      <c r="E8" s="268" t="e">
        <f t="shared" si="1"/>
        <v>#VALUE!</v>
      </c>
      <c r="F8" s="320" t="s">
        <v>745</v>
      </c>
      <c r="G8" s="318">
        <v>12</v>
      </c>
      <c r="H8" s="318" t="str">
        <f t="shared" si="3"/>
        <v>#ERROR!</v>
      </c>
      <c r="I8" s="316" t="e">
        <f t="shared" si="4"/>
        <v>#VALUE!</v>
      </c>
      <c r="J8" s="208" t="s">
        <v>749</v>
      </c>
      <c r="K8" s="315" t="s">
        <v>1293</v>
      </c>
      <c r="L8" s="208"/>
      <c r="M8" s="208"/>
      <c r="N8" s="208"/>
      <c r="O8" s="208"/>
      <c r="P8" s="208"/>
      <c r="Q8" s="208"/>
      <c r="R8" s="208"/>
      <c r="S8" s="208"/>
      <c r="T8" s="208"/>
      <c r="U8" s="208"/>
      <c r="V8" s="199"/>
      <c r="W8" s="199"/>
      <c r="X8" s="199"/>
      <c r="Y8" s="199"/>
      <c r="Z8" s="199"/>
      <c r="AA8" s="199"/>
      <c r="AB8" s="199"/>
      <c r="AC8" s="309"/>
    </row>
    <row r="9" spans="1:29" ht="13.5" customHeight="1">
      <c r="A9" s="270" t="s">
        <v>439</v>
      </c>
      <c r="B9" s="266" t="s">
        <v>750</v>
      </c>
      <c r="C9" s="271">
        <f t="shared" ref="C9:C10" si="5">40</f>
        <v>40</v>
      </c>
      <c r="D9" s="268" t="str">
        <f t="shared" si="0"/>
        <v>#ERROR!</v>
      </c>
      <c r="E9" s="268" t="e">
        <f t="shared" ref="E9:E12" si="6">D9*C9</f>
        <v>#VALUE!</v>
      </c>
      <c r="F9" s="320" t="s">
        <v>745</v>
      </c>
      <c r="G9" s="318">
        <f t="shared" ref="G9:G11" si="7">12</f>
        <v>12</v>
      </c>
      <c r="H9" s="318" t="str">
        <f t="shared" si="3"/>
        <v>#ERROR!</v>
      </c>
      <c r="I9" s="316" t="e">
        <f t="shared" si="4"/>
        <v>#VALUE!</v>
      </c>
      <c r="J9" s="208" t="s">
        <v>751</v>
      </c>
      <c r="K9" s="315" t="s">
        <v>1293</v>
      </c>
      <c r="L9" s="208"/>
      <c r="M9" s="208"/>
      <c r="N9" s="208"/>
      <c r="O9" s="208"/>
      <c r="P9" s="208"/>
      <c r="Q9" s="208"/>
      <c r="R9" s="208"/>
      <c r="S9" s="208"/>
      <c r="T9" s="208"/>
      <c r="U9" s="208"/>
      <c r="V9" s="199"/>
      <c r="W9" s="199"/>
      <c r="X9" s="199"/>
      <c r="Y9" s="199"/>
      <c r="Z9" s="199"/>
      <c r="AA9" s="199"/>
      <c r="AB9" s="199"/>
      <c r="AC9" s="309"/>
    </row>
    <row r="10" spans="1:29" ht="13.5" customHeight="1">
      <c r="A10" s="270" t="s">
        <v>928</v>
      </c>
      <c r="B10" s="266" t="s">
        <v>745</v>
      </c>
      <c r="C10" s="271">
        <f t="shared" si="5"/>
        <v>40</v>
      </c>
      <c r="D10" s="268" t="str">
        <f t="shared" si="0"/>
        <v>#ERROR!</v>
      </c>
      <c r="E10" s="268" t="e">
        <f t="shared" si="6"/>
        <v>#VALUE!</v>
      </c>
      <c r="F10" s="320" t="s">
        <v>745</v>
      </c>
      <c r="G10" s="318">
        <f t="shared" si="7"/>
        <v>12</v>
      </c>
      <c r="H10" s="318" t="str">
        <f t="shared" si="3"/>
        <v>#ERROR!</v>
      </c>
      <c r="I10" s="316" t="e">
        <f t="shared" ref="I10:I12" si="8">H10*G10</f>
        <v>#VALUE!</v>
      </c>
      <c r="J10" s="208" t="s">
        <v>752</v>
      </c>
      <c r="K10" s="315" t="s">
        <v>1293</v>
      </c>
      <c r="L10" s="208"/>
      <c r="M10" s="208"/>
      <c r="N10" s="208"/>
      <c r="O10" s="208"/>
      <c r="P10" s="208"/>
      <c r="Q10" s="208"/>
      <c r="R10" s="208"/>
      <c r="S10" s="208"/>
      <c r="T10" s="208"/>
      <c r="U10" s="208"/>
      <c r="V10" s="199"/>
      <c r="W10" s="199"/>
      <c r="X10" s="199"/>
      <c r="Y10" s="199"/>
      <c r="Z10" s="199"/>
      <c r="AA10" s="199"/>
      <c r="AB10" s="199"/>
      <c r="AC10" s="309"/>
    </row>
    <row r="11" spans="1:29" ht="13.5" customHeight="1">
      <c r="A11" s="270" t="s">
        <v>77</v>
      </c>
      <c r="B11" s="266" t="s">
        <v>745</v>
      </c>
      <c r="C11" s="271">
        <f>12*4</f>
        <v>48</v>
      </c>
      <c r="D11" s="268" t="str">
        <f t="shared" si="0"/>
        <v>#ERROR!</v>
      </c>
      <c r="E11" s="268" t="e">
        <f t="shared" si="6"/>
        <v>#VALUE!</v>
      </c>
      <c r="F11" s="320" t="s">
        <v>745</v>
      </c>
      <c r="G11" s="318">
        <f t="shared" si="7"/>
        <v>12</v>
      </c>
      <c r="H11" s="318" t="str">
        <f t="shared" si="3"/>
        <v>#ERROR!</v>
      </c>
      <c r="I11" s="316" t="e">
        <f t="shared" si="8"/>
        <v>#VALUE!</v>
      </c>
      <c r="J11" s="208" t="s">
        <v>753</v>
      </c>
      <c r="K11" s="315" t="s">
        <v>1293</v>
      </c>
      <c r="L11" s="208"/>
      <c r="M11" s="208"/>
      <c r="N11" s="208"/>
      <c r="O11" s="208"/>
      <c r="P11" s="208"/>
      <c r="Q11" s="208"/>
      <c r="R11" s="208"/>
      <c r="S11" s="208"/>
      <c r="T11" s="208"/>
      <c r="U11" s="208"/>
      <c r="V11" s="199"/>
      <c r="W11" s="199"/>
      <c r="X11" s="199"/>
      <c r="Y11" s="199"/>
      <c r="Z11" s="199"/>
      <c r="AA11" s="199"/>
      <c r="AB11" s="199"/>
      <c r="AC11" s="309"/>
    </row>
    <row r="12" spans="1:29" ht="13.5" customHeight="1">
      <c r="A12" s="274" t="s">
        <v>929</v>
      </c>
      <c r="B12" s="266" t="s">
        <v>755</v>
      </c>
      <c r="C12" s="271">
        <f>4*3</f>
        <v>12</v>
      </c>
      <c r="D12" s="268" t="str">
        <f t="shared" si="0"/>
        <v>#ERROR!</v>
      </c>
      <c r="E12" s="268" t="e">
        <f t="shared" si="6"/>
        <v>#VALUE!</v>
      </c>
      <c r="F12" s="320" t="s">
        <v>745</v>
      </c>
      <c r="G12" s="318">
        <f>C12/3</f>
        <v>4</v>
      </c>
      <c r="H12" s="318" t="str">
        <f t="shared" si="3"/>
        <v>#ERROR!</v>
      </c>
      <c r="I12" s="316" t="e">
        <f t="shared" si="8"/>
        <v>#VALUE!</v>
      </c>
      <c r="J12" s="208" t="s">
        <v>756</v>
      </c>
      <c r="K12" s="315" t="s">
        <v>1293</v>
      </c>
      <c r="L12" s="321">
        <f>(112360+0.331*112360)*0.99/12</f>
        <v>12337.9707</v>
      </c>
      <c r="M12" s="208" t="s">
        <v>757</v>
      </c>
      <c r="N12" s="208"/>
      <c r="O12" s="208"/>
      <c r="P12" s="208"/>
      <c r="Q12" s="208"/>
      <c r="R12" s="208"/>
      <c r="S12" s="208"/>
      <c r="T12" s="208"/>
      <c r="U12" s="208"/>
      <c r="V12" s="199"/>
      <c r="W12" s="199"/>
      <c r="X12" s="199"/>
      <c r="Y12" s="199"/>
      <c r="Z12" s="199"/>
      <c r="AA12" s="199"/>
      <c r="AB12" s="199"/>
      <c r="AC12" s="309"/>
    </row>
    <row r="13" spans="1:29" ht="27.75" customHeight="1">
      <c r="A13" s="277" t="s">
        <v>758</v>
      </c>
      <c r="B13" s="275" t="s">
        <v>745</v>
      </c>
      <c r="C13" s="271"/>
      <c r="D13" s="268"/>
      <c r="E13" s="269" t="e">
        <f>SUM(E15:E24)</f>
        <v>#VALUE!</v>
      </c>
      <c r="F13" s="316"/>
      <c r="G13" s="316"/>
      <c r="H13" s="316"/>
      <c r="I13" s="316" t="e">
        <f>SUM(I16:I24)</f>
        <v>#VALUE!</v>
      </c>
      <c r="J13" s="208"/>
      <c r="K13" s="315">
        <f>20/100*M19</f>
        <v>1984.9901775000003</v>
      </c>
      <c r="L13" s="322">
        <f>K13/L12*100</f>
        <v>16.088465646137418</v>
      </c>
      <c r="M13" s="208" t="s">
        <v>930</v>
      </c>
      <c r="N13" s="208"/>
      <c r="O13" s="208"/>
      <c r="P13" s="208"/>
      <c r="Q13" s="208"/>
      <c r="R13" s="208"/>
      <c r="S13" s="208"/>
      <c r="T13" s="208"/>
      <c r="U13" s="208"/>
      <c r="V13" s="199"/>
      <c r="W13" s="199"/>
      <c r="X13" s="199"/>
      <c r="Y13" s="199"/>
      <c r="Z13" s="199"/>
      <c r="AA13" s="199"/>
      <c r="AB13" s="199"/>
      <c r="AC13" s="309"/>
    </row>
    <row r="14" spans="1:29" ht="13.5" customHeight="1">
      <c r="A14" s="270" t="s">
        <v>759</v>
      </c>
      <c r="B14" s="275"/>
      <c r="C14" s="271"/>
      <c r="D14" s="268"/>
      <c r="E14" s="268" t="e">
        <f>SUM(E15:E24)</f>
        <v>#VALUE!</v>
      </c>
      <c r="F14" s="320"/>
      <c r="G14" s="318"/>
      <c r="H14" s="318"/>
      <c r="I14" s="316"/>
      <c r="J14" s="208"/>
      <c r="K14" s="315"/>
      <c r="L14" s="208"/>
      <c r="M14" s="208" t="s">
        <v>760</v>
      </c>
      <c r="N14" s="208"/>
      <c r="O14" s="208"/>
      <c r="P14" s="208"/>
      <c r="Q14" s="208"/>
      <c r="R14" s="208"/>
      <c r="S14" s="208"/>
      <c r="T14" s="208"/>
      <c r="U14" s="208"/>
      <c r="V14" s="199"/>
      <c r="W14" s="199"/>
      <c r="X14" s="199"/>
      <c r="Y14" s="199"/>
      <c r="Z14" s="199"/>
      <c r="AA14" s="199"/>
      <c r="AB14" s="199"/>
      <c r="AC14" s="309"/>
    </row>
    <row r="15" spans="1:29" ht="13.5" customHeight="1">
      <c r="A15" s="270" t="s">
        <v>761</v>
      </c>
      <c r="B15" s="266" t="s">
        <v>755</v>
      </c>
      <c r="C15" s="271">
        <f>12*4*40/100</f>
        <v>19.2</v>
      </c>
      <c r="D15" s="268">
        <f>10000.07</f>
        <v>10000.07</v>
      </c>
      <c r="E15" s="268">
        <f>D15*C15</f>
        <v>192001.34399999998</v>
      </c>
      <c r="F15" s="320" t="s">
        <v>745</v>
      </c>
      <c r="G15" s="318">
        <f>12*60/100</f>
        <v>7.2</v>
      </c>
      <c r="H15" s="318">
        <f t="shared" ref="H15:H18" si="9">D15</f>
        <v>10000.07</v>
      </c>
      <c r="I15" s="316">
        <f>H15*G15</f>
        <v>72000.504000000001</v>
      </c>
      <c r="J15" s="319" t="s">
        <v>762</v>
      </c>
      <c r="K15" s="315" t="s">
        <v>1293</v>
      </c>
      <c r="L15" s="208"/>
      <c r="M15" s="319" t="s">
        <v>763</v>
      </c>
      <c r="N15" s="208"/>
      <c r="O15" s="208"/>
      <c r="P15" s="208"/>
      <c r="Q15" s="208"/>
      <c r="R15" s="208"/>
      <c r="S15" s="208"/>
      <c r="T15" s="208"/>
      <c r="U15" s="208"/>
      <c r="V15" s="199"/>
      <c r="W15" s="199"/>
      <c r="X15" s="199"/>
      <c r="Y15" s="199"/>
      <c r="Z15" s="199"/>
      <c r="AA15" s="199"/>
      <c r="AB15" s="199"/>
      <c r="AC15" s="309"/>
    </row>
    <row r="16" spans="1:29" ht="13.5" customHeight="1">
      <c r="A16" s="270" t="s">
        <v>764</v>
      </c>
      <c r="B16" s="266" t="s">
        <v>745</v>
      </c>
      <c r="C16" s="271">
        <f>12*4</f>
        <v>48</v>
      </c>
      <c r="D16" s="268">
        <f>7007.55</f>
        <v>7007.55</v>
      </c>
      <c r="E16" s="268">
        <f>C16*D16</f>
        <v>336362.4</v>
      </c>
      <c r="F16" s="320" t="s">
        <v>745</v>
      </c>
      <c r="G16" s="318">
        <v>12</v>
      </c>
      <c r="H16" s="318">
        <f t="shared" si="9"/>
        <v>7007.55</v>
      </c>
      <c r="I16" s="316">
        <f>G16*H16</f>
        <v>84090.6</v>
      </c>
      <c r="J16" s="208" t="s">
        <v>765</v>
      </c>
      <c r="K16" s="315" t="s">
        <v>1293</v>
      </c>
      <c r="L16" s="208"/>
      <c r="M16" s="208"/>
      <c r="N16" s="208"/>
      <c r="O16" s="208"/>
      <c r="P16" s="208"/>
      <c r="Q16" s="208"/>
      <c r="R16" s="208"/>
      <c r="S16" s="208"/>
      <c r="T16" s="208"/>
      <c r="U16" s="208"/>
      <c r="V16" s="199"/>
      <c r="W16" s="199"/>
      <c r="X16" s="199"/>
      <c r="Y16" s="199"/>
      <c r="Z16" s="199"/>
      <c r="AA16" s="199"/>
      <c r="AB16" s="199"/>
      <c r="AC16" s="309"/>
    </row>
    <row r="17" spans="1:29" ht="13.5" customHeight="1">
      <c r="A17" s="270" t="s">
        <v>766</v>
      </c>
      <c r="B17" s="266" t="s">
        <v>755</v>
      </c>
      <c r="C17" s="271">
        <v>48</v>
      </c>
      <c r="D17" s="268">
        <f>5771.35</f>
        <v>5771.35</v>
      </c>
      <c r="E17" s="268">
        <f>D17*C17</f>
        <v>277024.80000000005</v>
      </c>
      <c r="F17" s="320" t="s">
        <v>745</v>
      </c>
      <c r="G17" s="318">
        <f>12</f>
        <v>12</v>
      </c>
      <c r="H17" s="318">
        <f t="shared" si="9"/>
        <v>5771.35</v>
      </c>
      <c r="I17" s="316">
        <f>H17*G17</f>
        <v>69256.200000000012</v>
      </c>
      <c r="J17" s="208" t="s">
        <v>767</v>
      </c>
      <c r="K17" s="315" t="s">
        <v>1293</v>
      </c>
      <c r="L17" s="208"/>
      <c r="M17" s="208"/>
      <c r="N17" s="208"/>
      <c r="O17" s="208"/>
      <c r="P17" s="208"/>
      <c r="Q17" s="208"/>
      <c r="R17" s="208"/>
      <c r="S17" s="208"/>
      <c r="T17" s="208"/>
      <c r="U17" s="208"/>
      <c r="V17" s="199"/>
      <c r="W17" s="199"/>
      <c r="X17" s="199"/>
      <c r="Y17" s="199"/>
      <c r="Z17" s="199"/>
      <c r="AA17" s="199"/>
      <c r="AB17" s="199"/>
      <c r="AC17" s="309"/>
    </row>
    <row r="18" spans="1:29" ht="13.5" customHeight="1">
      <c r="A18" s="270" t="s">
        <v>931</v>
      </c>
      <c r="B18" s="266" t="s">
        <v>745</v>
      </c>
      <c r="C18" s="271">
        <f>12*2</f>
        <v>24</v>
      </c>
      <c r="D18" s="268">
        <f>4229.8</f>
        <v>4229.8</v>
      </c>
      <c r="E18" s="268">
        <f t="shared" ref="E18:E19" si="10">C18*D18</f>
        <v>101515.20000000001</v>
      </c>
      <c r="F18" s="320" t="s">
        <v>745</v>
      </c>
      <c r="G18" s="318">
        <v>0</v>
      </c>
      <c r="H18" s="318">
        <f t="shared" si="9"/>
        <v>4229.8</v>
      </c>
      <c r="I18" s="316">
        <f t="shared" ref="I18:I19" si="11">G18*H18</f>
        <v>0</v>
      </c>
      <c r="J18" s="208" t="s">
        <v>768</v>
      </c>
      <c r="K18" s="315" t="s">
        <v>1293</v>
      </c>
      <c r="L18" s="208"/>
      <c r="M18" s="208"/>
      <c r="N18" s="208"/>
      <c r="O18" s="208"/>
      <c r="P18" s="208"/>
      <c r="Q18" s="208"/>
      <c r="R18" s="208"/>
      <c r="S18" s="208"/>
      <c r="T18" s="208"/>
      <c r="U18" s="208"/>
      <c r="V18" s="199"/>
      <c r="W18" s="199"/>
      <c r="X18" s="199"/>
      <c r="Y18" s="199"/>
      <c r="Z18" s="199"/>
      <c r="AA18" s="199"/>
      <c r="AB18" s="199"/>
      <c r="AC18" s="309"/>
    </row>
    <row r="19" spans="1:29" ht="19.5" customHeight="1">
      <c r="A19" s="270" t="s">
        <v>444</v>
      </c>
      <c r="B19" s="266" t="s">
        <v>745</v>
      </c>
      <c r="C19" s="271">
        <f>12*4</f>
        <v>48</v>
      </c>
      <c r="D19" s="268" t="str">
        <f t="shared" ref="D19:D20" si="12">K19</f>
        <v>#ERROR!</v>
      </c>
      <c r="E19" s="268" t="e">
        <f t="shared" si="10"/>
        <v>#VALUE!</v>
      </c>
      <c r="F19" s="320" t="s">
        <v>745</v>
      </c>
      <c r="G19" s="318">
        <v>12</v>
      </c>
      <c r="H19" s="318" t="str">
        <f t="shared" ref="H19:H20" si="13">K19</f>
        <v>#ERROR!</v>
      </c>
      <c r="I19" s="316" t="e">
        <f t="shared" si="11"/>
        <v>#VALUE!</v>
      </c>
      <c r="J19" s="210" t="s">
        <v>769</v>
      </c>
      <c r="K19" s="315" t="s">
        <v>1293</v>
      </c>
      <c r="L19" s="195" t="s">
        <v>770</v>
      </c>
      <c r="M19" s="321">
        <f>((90385 +0.331*90385)/12)*0.99</f>
        <v>9924.950887500001</v>
      </c>
      <c r="N19" s="208"/>
      <c r="O19" s="208"/>
      <c r="P19" s="208"/>
      <c r="Q19" s="208"/>
      <c r="R19" s="208"/>
      <c r="S19" s="208"/>
      <c r="T19" s="208"/>
      <c r="U19" s="208"/>
      <c r="V19" s="199"/>
      <c r="W19" s="199"/>
      <c r="X19" s="199"/>
      <c r="Y19" s="199"/>
      <c r="Z19" s="199"/>
      <c r="AA19" s="199"/>
      <c r="AB19" s="199"/>
      <c r="AC19" s="309"/>
    </row>
    <row r="20" spans="1:29" ht="17.25" customHeight="1">
      <c r="A20" s="272" t="s">
        <v>771</v>
      </c>
      <c r="B20" s="266" t="s">
        <v>745</v>
      </c>
      <c r="C20" s="271">
        <f>12*3*2</f>
        <v>72</v>
      </c>
      <c r="D20" s="268" t="str">
        <f t="shared" si="12"/>
        <v>#ERROR!</v>
      </c>
      <c r="E20" s="268" t="e">
        <f>D20*C20</f>
        <v>#VALUE!</v>
      </c>
      <c r="F20" s="320" t="s">
        <v>745</v>
      </c>
      <c r="G20" s="318">
        <f>12*2*2</f>
        <v>48</v>
      </c>
      <c r="H20" s="318" t="str">
        <f t="shared" si="13"/>
        <v>#ERROR!</v>
      </c>
      <c r="I20" s="316" t="e">
        <f>H20*G20</f>
        <v>#VALUE!</v>
      </c>
      <c r="J20" s="210" t="s">
        <v>768</v>
      </c>
      <c r="K20" s="315" t="s">
        <v>1293</v>
      </c>
      <c r="L20" s="195"/>
      <c r="M20" s="208"/>
      <c r="N20" s="208"/>
      <c r="O20" s="208"/>
      <c r="P20" s="208"/>
      <c r="Q20" s="208"/>
      <c r="R20" s="208"/>
      <c r="S20" s="208"/>
      <c r="T20" s="208"/>
      <c r="U20" s="208"/>
      <c r="V20" s="199"/>
      <c r="W20" s="199"/>
      <c r="X20" s="199"/>
      <c r="Y20" s="199"/>
      <c r="Z20" s="199"/>
      <c r="AA20" s="199"/>
      <c r="AB20" s="199"/>
      <c r="AC20" s="309"/>
    </row>
    <row r="21" spans="1:29" ht="13.5" customHeight="1">
      <c r="A21" s="270" t="s">
        <v>772</v>
      </c>
      <c r="B21" s="266" t="s">
        <v>745</v>
      </c>
      <c r="C21" s="271">
        <f t="shared" ref="C21:C22" si="14">12*3</f>
        <v>36</v>
      </c>
      <c r="D21" s="268" t="str">
        <f>D20</f>
        <v>#ERROR!</v>
      </c>
      <c r="E21" s="268" t="e">
        <f t="shared" ref="E21:E23" si="15">C21*D21</f>
        <v>#VALUE!</v>
      </c>
      <c r="F21" s="320" t="s">
        <v>745</v>
      </c>
      <c r="G21" s="318">
        <v>12</v>
      </c>
      <c r="H21" s="318" t="str">
        <f>H20</f>
        <v>#ERROR!</v>
      </c>
      <c r="I21" s="316" t="e">
        <f t="shared" ref="I21:I24" si="16">G21*H21</f>
        <v>#VALUE!</v>
      </c>
      <c r="J21" s="208" t="s">
        <v>773</v>
      </c>
      <c r="K21" s="315" t="str">
        <f t="shared" ref="K21:K23" si="17">K20</f>
        <v>#ERROR!</v>
      </c>
      <c r="L21" s="208"/>
      <c r="M21" s="208"/>
      <c r="N21" s="208"/>
      <c r="O21" s="208"/>
      <c r="P21" s="208"/>
      <c r="Q21" s="208"/>
      <c r="R21" s="208"/>
      <c r="S21" s="208"/>
      <c r="T21" s="208"/>
      <c r="U21" s="208"/>
      <c r="V21" s="199"/>
      <c r="W21" s="199"/>
      <c r="X21" s="199"/>
      <c r="Y21" s="199"/>
      <c r="Z21" s="199"/>
      <c r="AA21" s="199"/>
      <c r="AB21" s="199"/>
      <c r="AC21" s="309"/>
    </row>
    <row r="22" spans="1:29" ht="13.5" customHeight="1">
      <c r="A22" s="270" t="s">
        <v>932</v>
      </c>
      <c r="B22" s="266" t="s">
        <v>750</v>
      </c>
      <c r="C22" s="271">
        <f t="shared" si="14"/>
        <v>36</v>
      </c>
      <c r="D22" s="268" t="str">
        <f>D20</f>
        <v>#ERROR!</v>
      </c>
      <c r="E22" s="268" t="e">
        <f t="shared" si="15"/>
        <v>#VALUE!</v>
      </c>
      <c r="F22" s="320" t="s">
        <v>745</v>
      </c>
      <c r="G22" s="318">
        <v>12</v>
      </c>
      <c r="H22" s="318" t="str">
        <f t="shared" ref="H22:H23" si="18">D22</f>
        <v>#ERROR!</v>
      </c>
      <c r="I22" s="318" t="e">
        <f t="shared" si="16"/>
        <v>#VALUE!</v>
      </c>
      <c r="J22" s="208" t="s">
        <v>768</v>
      </c>
      <c r="K22" s="315" t="str">
        <f t="shared" si="17"/>
        <v>#ERROR!</v>
      </c>
      <c r="L22" s="208"/>
      <c r="M22" s="208"/>
      <c r="N22" s="208"/>
      <c r="O22" s="208"/>
      <c r="P22" s="208"/>
      <c r="Q22" s="208"/>
      <c r="R22" s="208"/>
      <c r="S22" s="208"/>
      <c r="T22" s="208"/>
      <c r="U22" s="208"/>
      <c r="V22" s="199"/>
      <c r="W22" s="199"/>
      <c r="X22" s="199"/>
      <c r="Y22" s="199"/>
      <c r="Z22" s="199"/>
      <c r="AA22" s="199"/>
      <c r="AB22" s="199"/>
      <c r="AC22" s="309"/>
    </row>
    <row r="23" spans="1:29" ht="13.5" customHeight="1">
      <c r="A23" s="270" t="s">
        <v>933</v>
      </c>
      <c r="B23" s="266" t="s">
        <v>750</v>
      </c>
      <c r="C23" s="271">
        <f>40</f>
        <v>40</v>
      </c>
      <c r="D23" s="268">
        <f>3000</f>
        <v>3000</v>
      </c>
      <c r="E23" s="268">
        <f t="shared" si="15"/>
        <v>120000</v>
      </c>
      <c r="F23" s="320" t="s">
        <v>745</v>
      </c>
      <c r="G23" s="318">
        <f>12</f>
        <v>12</v>
      </c>
      <c r="H23" s="318">
        <f t="shared" si="18"/>
        <v>3000</v>
      </c>
      <c r="I23" s="316">
        <f t="shared" si="16"/>
        <v>36000</v>
      </c>
      <c r="J23" s="208" t="s">
        <v>768</v>
      </c>
      <c r="K23" s="315" t="str">
        <f t="shared" si="17"/>
        <v>#ERROR!</v>
      </c>
      <c r="L23" s="208"/>
      <c r="M23" s="208"/>
      <c r="N23" s="208"/>
      <c r="O23" s="208"/>
      <c r="P23" s="208"/>
      <c r="Q23" s="208"/>
      <c r="R23" s="208"/>
      <c r="S23" s="208"/>
      <c r="T23" s="208"/>
      <c r="U23" s="208"/>
      <c r="V23" s="199"/>
      <c r="W23" s="199"/>
      <c r="X23" s="199"/>
      <c r="Y23" s="199"/>
      <c r="Z23" s="199"/>
      <c r="AA23" s="199"/>
      <c r="AB23" s="199"/>
      <c r="AC23" s="309"/>
    </row>
    <row r="24" spans="1:29" ht="13.5" customHeight="1">
      <c r="A24" s="270" t="s">
        <v>934</v>
      </c>
      <c r="B24" s="266" t="s">
        <v>745</v>
      </c>
      <c r="C24" s="271">
        <f>15</f>
        <v>15</v>
      </c>
      <c r="D24" s="268">
        <f>H24</f>
        <v>5500</v>
      </c>
      <c r="E24" s="268">
        <f>D24*C24</f>
        <v>82500</v>
      </c>
      <c r="F24" s="320" t="s">
        <v>745</v>
      </c>
      <c r="G24" s="318">
        <f>5</f>
        <v>5</v>
      </c>
      <c r="H24" s="318">
        <f>5500</f>
        <v>5500</v>
      </c>
      <c r="I24" s="316">
        <f t="shared" si="16"/>
        <v>27500</v>
      </c>
      <c r="J24" s="323" t="s">
        <v>777</v>
      </c>
      <c r="K24" s="315">
        <f>5500</f>
        <v>5500</v>
      </c>
      <c r="L24" s="208"/>
      <c r="M24" s="208"/>
      <c r="N24" s="208"/>
      <c r="O24" s="208"/>
      <c r="P24" s="208"/>
      <c r="Q24" s="208"/>
      <c r="R24" s="208"/>
      <c r="S24" s="208"/>
      <c r="T24" s="208"/>
      <c r="U24" s="208"/>
      <c r="V24" s="199"/>
      <c r="W24" s="199"/>
      <c r="X24" s="199"/>
      <c r="Y24" s="199"/>
      <c r="Z24" s="199"/>
      <c r="AA24" s="199"/>
      <c r="AB24" s="199"/>
      <c r="AC24" s="309"/>
    </row>
    <row r="25" spans="1:29" ht="8.25" customHeight="1">
      <c r="A25" s="270"/>
      <c r="B25" s="266"/>
      <c r="C25" s="271"/>
      <c r="D25" s="268"/>
      <c r="E25" s="269"/>
      <c r="F25" s="320"/>
      <c r="G25" s="318"/>
      <c r="H25" s="318"/>
      <c r="I25" s="316"/>
      <c r="J25" s="323"/>
      <c r="K25" s="315"/>
      <c r="L25" s="208"/>
      <c r="M25" s="208"/>
      <c r="N25" s="208"/>
      <c r="O25" s="208"/>
      <c r="P25" s="208"/>
      <c r="Q25" s="208"/>
      <c r="R25" s="208"/>
      <c r="S25" s="208"/>
      <c r="T25" s="208"/>
      <c r="U25" s="208"/>
      <c r="V25" s="199"/>
      <c r="W25" s="199"/>
      <c r="X25" s="199"/>
      <c r="Y25" s="199"/>
      <c r="Z25" s="199"/>
      <c r="AA25" s="199"/>
      <c r="AB25" s="199"/>
      <c r="AC25" s="309"/>
    </row>
    <row r="26" spans="1:29" ht="15.75" customHeight="1">
      <c r="A26" s="277" t="s">
        <v>935</v>
      </c>
      <c r="B26" s="266"/>
      <c r="C26" s="267"/>
      <c r="D26" s="268"/>
      <c r="E26" s="269">
        <f>E27+E38</f>
        <v>278440</v>
      </c>
      <c r="F26" s="316"/>
      <c r="G26" s="316"/>
      <c r="H26" s="316"/>
      <c r="I26" s="316">
        <f>SUM(I28:I35)</f>
        <v>58680</v>
      </c>
      <c r="J26" s="208"/>
      <c r="K26" s="315"/>
      <c r="L26" s="208"/>
      <c r="M26" s="208"/>
      <c r="N26" s="208"/>
      <c r="O26" s="208"/>
      <c r="P26" s="208"/>
      <c r="Q26" s="208"/>
      <c r="R26" s="208"/>
      <c r="S26" s="208"/>
      <c r="T26" s="208"/>
      <c r="U26" s="208"/>
      <c r="V26" s="199"/>
      <c r="W26" s="199"/>
      <c r="X26" s="199"/>
      <c r="Y26" s="199"/>
      <c r="Z26" s="199"/>
      <c r="AA26" s="199"/>
      <c r="AB26" s="199"/>
      <c r="AC26" s="309"/>
    </row>
    <row r="27" spans="1:29" ht="13.5" customHeight="1">
      <c r="A27" s="277" t="s">
        <v>778</v>
      </c>
      <c r="B27" s="275" t="s">
        <v>779</v>
      </c>
      <c r="C27" s="278"/>
      <c r="D27" s="269"/>
      <c r="E27" s="279">
        <f>SUM(E28:E35)</f>
        <v>151920</v>
      </c>
      <c r="F27" s="324"/>
      <c r="G27" s="324"/>
      <c r="H27" s="324"/>
      <c r="I27" s="324"/>
      <c r="J27" s="208"/>
      <c r="K27" s="315"/>
      <c r="L27" s="208"/>
      <c r="M27" s="208"/>
      <c r="N27" s="208"/>
      <c r="O27" s="208"/>
      <c r="P27" s="208"/>
      <c r="Q27" s="208"/>
      <c r="R27" s="208"/>
      <c r="S27" s="208"/>
      <c r="T27" s="208"/>
      <c r="U27" s="208"/>
      <c r="V27" s="199"/>
      <c r="W27" s="199"/>
      <c r="X27" s="199"/>
      <c r="Y27" s="199"/>
      <c r="Z27" s="199"/>
      <c r="AA27" s="199"/>
      <c r="AB27" s="199"/>
      <c r="AC27" s="309"/>
    </row>
    <row r="28" spans="1:29" ht="27" customHeight="1">
      <c r="A28" s="270" t="s">
        <v>780</v>
      </c>
      <c r="B28" s="266" t="s">
        <v>779</v>
      </c>
      <c r="C28" s="271">
        <f>15*1*6</f>
        <v>90</v>
      </c>
      <c r="D28" s="268">
        <v>180</v>
      </c>
      <c r="E28" s="268">
        <f t="shared" ref="E28:E35" si="19">C28*D28</f>
        <v>16200</v>
      </c>
      <c r="F28" s="325" t="s">
        <v>779</v>
      </c>
      <c r="G28" s="326">
        <f t="shared" ref="G28:H28" si="20">C28</f>
        <v>90</v>
      </c>
      <c r="H28" s="318">
        <f t="shared" si="20"/>
        <v>180</v>
      </c>
      <c r="I28" s="327">
        <f t="shared" ref="I28:I35" si="21">G28*H28</f>
        <v>16200</v>
      </c>
      <c r="J28" s="191" t="s">
        <v>781</v>
      </c>
      <c r="K28" s="328">
        <f>((56022+13462+1793)*0.11+1500)</f>
        <v>9340.4700000000012</v>
      </c>
      <c r="L28" s="319">
        <f>56022*0.11</f>
        <v>6162.42</v>
      </c>
      <c r="M28" s="208"/>
      <c r="N28" s="208"/>
      <c r="O28" s="208"/>
      <c r="P28" s="208"/>
      <c r="Q28" s="208"/>
      <c r="R28" s="208"/>
      <c r="S28" s="208"/>
      <c r="T28" s="208"/>
      <c r="U28" s="208"/>
      <c r="V28" s="199"/>
      <c r="W28" s="199"/>
      <c r="X28" s="199"/>
      <c r="Y28" s="199"/>
      <c r="Z28" s="199"/>
      <c r="AA28" s="199"/>
      <c r="AB28" s="199"/>
      <c r="AC28" s="309"/>
    </row>
    <row r="29" spans="1:29" ht="28.5" customHeight="1">
      <c r="A29" s="270" t="s">
        <v>782</v>
      </c>
      <c r="B29" s="266" t="s">
        <v>779</v>
      </c>
      <c r="C29" s="271">
        <f t="shared" ref="C29:D29" si="22">C28</f>
        <v>90</v>
      </c>
      <c r="D29" s="268">
        <f t="shared" si="22"/>
        <v>180</v>
      </c>
      <c r="E29" s="268">
        <f t="shared" si="19"/>
        <v>16200</v>
      </c>
      <c r="F29" s="325" t="s">
        <v>779</v>
      </c>
      <c r="G29" s="326">
        <f t="shared" ref="G29:H29" si="23">G28</f>
        <v>90</v>
      </c>
      <c r="H29" s="318">
        <f t="shared" si="23"/>
        <v>180</v>
      </c>
      <c r="I29" s="327">
        <f t="shared" si="21"/>
        <v>16200</v>
      </c>
      <c r="J29" s="208"/>
      <c r="K29" s="315"/>
      <c r="L29" s="208"/>
      <c r="M29" s="208"/>
      <c r="N29" s="208"/>
      <c r="O29" s="208"/>
      <c r="P29" s="208"/>
      <c r="Q29" s="208"/>
      <c r="R29" s="208"/>
      <c r="S29" s="208"/>
      <c r="T29" s="208"/>
      <c r="U29" s="208"/>
      <c r="V29" s="199"/>
      <c r="W29" s="199"/>
      <c r="X29" s="199"/>
      <c r="Y29" s="199"/>
      <c r="Z29" s="199"/>
      <c r="AA29" s="199"/>
      <c r="AB29" s="199"/>
      <c r="AC29" s="309"/>
    </row>
    <row r="30" spans="1:29" ht="28.5" customHeight="1">
      <c r="A30" s="270" t="s">
        <v>783</v>
      </c>
      <c r="B30" s="266" t="s">
        <v>779</v>
      </c>
      <c r="C30" s="271">
        <f>2*3*2</f>
        <v>12</v>
      </c>
      <c r="D30" s="268">
        <f t="shared" ref="D30:D32" si="24">D29</f>
        <v>180</v>
      </c>
      <c r="E30" s="268">
        <f t="shared" si="19"/>
        <v>2160</v>
      </c>
      <c r="F30" s="325" t="s">
        <v>779</v>
      </c>
      <c r="G30" s="326">
        <f>C30/4</f>
        <v>3</v>
      </c>
      <c r="H30" s="318">
        <f t="shared" ref="H30:H35" si="25">D30</f>
        <v>180</v>
      </c>
      <c r="I30" s="327">
        <f t="shared" si="21"/>
        <v>540</v>
      </c>
      <c r="J30" s="208"/>
      <c r="K30" s="315"/>
      <c r="L30" s="208"/>
      <c r="M30" s="208"/>
      <c r="N30" s="208"/>
      <c r="O30" s="208"/>
      <c r="P30" s="208"/>
      <c r="Q30" s="208"/>
      <c r="R30" s="208"/>
      <c r="S30" s="208"/>
      <c r="T30" s="208"/>
      <c r="U30" s="208"/>
      <c r="V30" s="199"/>
      <c r="W30" s="199"/>
      <c r="X30" s="199"/>
      <c r="Y30" s="199"/>
      <c r="Z30" s="199"/>
      <c r="AA30" s="199"/>
      <c r="AB30" s="199"/>
      <c r="AC30" s="309"/>
    </row>
    <row r="31" spans="1:29" ht="36" customHeight="1">
      <c r="A31" s="270" t="s">
        <v>784</v>
      </c>
      <c r="B31" s="266" t="s">
        <v>779</v>
      </c>
      <c r="C31" s="271">
        <f>5*4*4*5</f>
        <v>400</v>
      </c>
      <c r="D31" s="268">
        <f t="shared" si="24"/>
        <v>180</v>
      </c>
      <c r="E31" s="268">
        <f t="shared" si="19"/>
        <v>72000</v>
      </c>
      <c r="F31" s="325" t="s">
        <v>779</v>
      </c>
      <c r="G31" s="326">
        <f>C31/5</f>
        <v>80</v>
      </c>
      <c r="H31" s="318">
        <f t="shared" si="25"/>
        <v>180</v>
      </c>
      <c r="I31" s="327">
        <f t="shared" si="21"/>
        <v>14400</v>
      </c>
      <c r="J31" s="208"/>
      <c r="K31" s="315" t="s">
        <v>449</v>
      </c>
      <c r="L31" s="208"/>
      <c r="M31" s="208"/>
      <c r="N31" s="208"/>
      <c r="O31" s="208"/>
      <c r="P31" s="208"/>
      <c r="Q31" s="208"/>
      <c r="R31" s="208"/>
      <c r="S31" s="208"/>
      <c r="T31" s="208"/>
      <c r="U31" s="208"/>
      <c r="V31" s="199"/>
      <c r="W31" s="199"/>
      <c r="X31" s="199"/>
      <c r="Y31" s="199"/>
      <c r="Z31" s="199"/>
      <c r="AA31" s="199"/>
      <c r="AB31" s="199"/>
      <c r="AC31" s="309"/>
    </row>
    <row r="32" spans="1:29" ht="33.75" customHeight="1">
      <c r="A32" s="270" t="s">
        <v>785</v>
      </c>
      <c r="B32" s="266" t="s">
        <v>779</v>
      </c>
      <c r="C32" s="271">
        <f>2*4*7</f>
        <v>56</v>
      </c>
      <c r="D32" s="268">
        <f t="shared" si="24"/>
        <v>180</v>
      </c>
      <c r="E32" s="268">
        <f t="shared" si="19"/>
        <v>10080</v>
      </c>
      <c r="F32" s="325" t="s">
        <v>779</v>
      </c>
      <c r="G32" s="326">
        <f>C32/4</f>
        <v>14</v>
      </c>
      <c r="H32" s="318">
        <f t="shared" si="25"/>
        <v>180</v>
      </c>
      <c r="I32" s="327">
        <f t="shared" si="21"/>
        <v>2520</v>
      </c>
      <c r="J32" s="208"/>
      <c r="K32" s="315"/>
      <c r="L32" s="208"/>
      <c r="M32" s="208"/>
      <c r="N32" s="208"/>
      <c r="O32" s="208"/>
      <c r="P32" s="208"/>
      <c r="Q32" s="208"/>
      <c r="R32" s="208"/>
      <c r="S32" s="208"/>
      <c r="T32" s="208"/>
      <c r="U32" s="208"/>
      <c r="V32" s="199"/>
      <c r="W32" s="199"/>
      <c r="X32" s="199"/>
      <c r="Y32" s="199"/>
      <c r="Z32" s="199"/>
      <c r="AA32" s="199"/>
      <c r="AB32" s="199"/>
      <c r="AC32" s="309"/>
    </row>
    <row r="33" spans="1:29" ht="20.25" customHeight="1">
      <c r="A33" s="270" t="s">
        <v>786</v>
      </c>
      <c r="B33" s="266" t="s">
        <v>779</v>
      </c>
      <c r="C33" s="271">
        <f t="shared" ref="C33:D33" si="26">C32</f>
        <v>56</v>
      </c>
      <c r="D33" s="268">
        <f t="shared" si="26"/>
        <v>180</v>
      </c>
      <c r="E33" s="268">
        <f t="shared" si="19"/>
        <v>10080</v>
      </c>
      <c r="F33" s="325" t="s">
        <v>779</v>
      </c>
      <c r="G33" s="326">
        <f>G32</f>
        <v>14</v>
      </c>
      <c r="H33" s="318">
        <f t="shared" si="25"/>
        <v>180</v>
      </c>
      <c r="I33" s="327">
        <f t="shared" si="21"/>
        <v>2520</v>
      </c>
      <c r="J33" s="208"/>
      <c r="K33" s="315"/>
      <c r="L33" s="208"/>
      <c r="M33" s="208"/>
      <c r="N33" s="208"/>
      <c r="O33" s="208"/>
      <c r="P33" s="208"/>
      <c r="Q33" s="208"/>
      <c r="R33" s="208"/>
      <c r="S33" s="208"/>
      <c r="T33" s="208"/>
      <c r="U33" s="208"/>
      <c r="V33" s="199"/>
      <c r="W33" s="199"/>
      <c r="X33" s="199"/>
      <c r="Y33" s="199"/>
      <c r="Z33" s="199"/>
      <c r="AA33" s="199"/>
      <c r="AB33" s="199"/>
      <c r="AC33" s="309"/>
    </row>
    <row r="34" spans="1:29" ht="21.75" customHeight="1">
      <c r="A34" s="281" t="s">
        <v>447</v>
      </c>
      <c r="B34" s="266" t="s">
        <v>779</v>
      </c>
      <c r="C34" s="271">
        <f>3*4*7</f>
        <v>84</v>
      </c>
      <c r="D34" s="268">
        <f t="shared" ref="D34:D35" si="27">D33</f>
        <v>180</v>
      </c>
      <c r="E34" s="268">
        <f t="shared" si="19"/>
        <v>15120</v>
      </c>
      <c r="F34" s="325" t="s">
        <v>779</v>
      </c>
      <c r="G34" s="326">
        <f t="shared" ref="G34:G35" si="28">C34/4</f>
        <v>21</v>
      </c>
      <c r="H34" s="318">
        <f t="shared" si="25"/>
        <v>180</v>
      </c>
      <c r="I34" s="327">
        <f t="shared" si="21"/>
        <v>3780</v>
      </c>
      <c r="J34" s="208"/>
      <c r="K34" s="315"/>
      <c r="L34" s="208"/>
      <c r="M34" s="208"/>
      <c r="N34" s="208"/>
      <c r="O34" s="208"/>
      <c r="P34" s="208"/>
      <c r="Q34" s="208"/>
      <c r="R34" s="208"/>
      <c r="S34" s="208"/>
      <c r="T34" s="208"/>
      <c r="U34" s="208"/>
      <c r="V34" s="199"/>
      <c r="W34" s="199"/>
      <c r="X34" s="199"/>
      <c r="Y34" s="199"/>
      <c r="Z34" s="199"/>
      <c r="AA34" s="199"/>
      <c r="AB34" s="199"/>
      <c r="AC34" s="309"/>
    </row>
    <row r="35" spans="1:29" ht="26.25" customHeight="1">
      <c r="A35" s="281" t="s">
        <v>787</v>
      </c>
      <c r="B35" s="266" t="s">
        <v>779</v>
      </c>
      <c r="C35" s="271">
        <f>2*7*4</f>
        <v>56</v>
      </c>
      <c r="D35" s="268">
        <f t="shared" si="27"/>
        <v>180</v>
      </c>
      <c r="E35" s="268">
        <f t="shared" si="19"/>
        <v>10080</v>
      </c>
      <c r="F35" s="325" t="s">
        <v>779</v>
      </c>
      <c r="G35" s="326">
        <f t="shared" si="28"/>
        <v>14</v>
      </c>
      <c r="H35" s="318">
        <f t="shared" si="25"/>
        <v>180</v>
      </c>
      <c r="I35" s="327">
        <f t="shared" si="21"/>
        <v>2520</v>
      </c>
      <c r="J35" s="208"/>
      <c r="K35" s="315"/>
      <c r="L35" s="208"/>
      <c r="M35" s="208"/>
      <c r="N35" s="208"/>
      <c r="O35" s="208"/>
      <c r="P35" s="208"/>
      <c r="Q35" s="208"/>
      <c r="R35" s="208"/>
      <c r="S35" s="208"/>
      <c r="T35" s="208"/>
      <c r="U35" s="208"/>
      <c r="V35" s="199"/>
      <c r="W35" s="199"/>
      <c r="X35" s="199"/>
      <c r="Y35" s="199"/>
      <c r="Z35" s="199"/>
      <c r="AA35" s="199"/>
      <c r="AB35" s="199"/>
      <c r="AC35" s="309"/>
    </row>
    <row r="36" spans="1:29" ht="12.75" customHeight="1">
      <c r="A36" s="281"/>
      <c r="B36" s="266"/>
      <c r="C36" s="267"/>
      <c r="D36" s="268"/>
      <c r="E36" s="269"/>
      <c r="F36" s="320"/>
      <c r="G36" s="318"/>
      <c r="H36" s="318"/>
      <c r="I36" s="316"/>
      <c r="J36" s="208"/>
      <c r="K36" s="315"/>
      <c r="L36" s="208"/>
      <c r="M36" s="208"/>
      <c r="N36" s="208"/>
      <c r="O36" s="208"/>
      <c r="P36" s="208"/>
      <c r="Q36" s="208"/>
      <c r="R36" s="208"/>
      <c r="S36" s="208"/>
      <c r="T36" s="208"/>
      <c r="U36" s="208"/>
      <c r="V36" s="199"/>
      <c r="W36" s="199"/>
      <c r="X36" s="199"/>
      <c r="Y36" s="199"/>
      <c r="Z36" s="199"/>
      <c r="AA36" s="199"/>
      <c r="AB36" s="199"/>
      <c r="AC36" s="309"/>
    </row>
    <row r="37" spans="1:29" ht="13.5" customHeight="1">
      <c r="A37" s="277" t="s">
        <v>788</v>
      </c>
      <c r="B37" s="275" t="s">
        <v>779</v>
      </c>
      <c r="C37" s="267"/>
      <c r="D37" s="268"/>
      <c r="E37" s="268"/>
      <c r="F37" s="320"/>
      <c r="G37" s="318"/>
      <c r="H37" s="318"/>
      <c r="I37" s="316"/>
      <c r="J37" s="208"/>
      <c r="K37" s="315"/>
      <c r="L37" s="208"/>
      <c r="M37" s="208"/>
      <c r="N37" s="208"/>
      <c r="O37" s="208"/>
      <c r="P37" s="208"/>
      <c r="Q37" s="208"/>
      <c r="R37" s="208"/>
      <c r="S37" s="208"/>
      <c r="T37" s="208"/>
      <c r="U37" s="208"/>
      <c r="V37" s="199"/>
      <c r="W37" s="199"/>
      <c r="X37" s="199"/>
      <c r="Y37" s="199"/>
      <c r="Z37" s="199"/>
      <c r="AA37" s="199"/>
      <c r="AB37" s="199"/>
      <c r="AC37" s="309"/>
    </row>
    <row r="38" spans="1:29" ht="13.5" customHeight="1">
      <c r="A38" s="277" t="s">
        <v>789</v>
      </c>
      <c r="B38" s="275" t="s">
        <v>779</v>
      </c>
      <c r="C38" s="267"/>
      <c r="D38" s="268"/>
      <c r="E38" s="269">
        <f>SUM(E39:E41)</f>
        <v>126520</v>
      </c>
      <c r="F38" s="316"/>
      <c r="G38" s="316"/>
      <c r="H38" s="316"/>
      <c r="I38" s="316">
        <f>SUM(I39:I41)</f>
        <v>44510</v>
      </c>
      <c r="J38" s="208"/>
      <c r="K38" s="315"/>
      <c r="L38" s="208"/>
      <c r="M38" s="208"/>
      <c r="N38" s="208"/>
      <c r="O38" s="208"/>
      <c r="P38" s="208"/>
      <c r="Q38" s="208"/>
      <c r="R38" s="208"/>
      <c r="S38" s="208"/>
      <c r="T38" s="208"/>
      <c r="U38" s="208"/>
      <c r="V38" s="199"/>
      <c r="W38" s="199"/>
      <c r="X38" s="199"/>
      <c r="Y38" s="199"/>
      <c r="Z38" s="199"/>
      <c r="AA38" s="199"/>
      <c r="AB38" s="199"/>
      <c r="AC38" s="309"/>
    </row>
    <row r="39" spans="1:29" ht="27.75" customHeight="1">
      <c r="A39" s="281" t="s">
        <v>790</v>
      </c>
      <c r="B39" s="266" t="s">
        <v>779</v>
      </c>
      <c r="C39" s="271">
        <f>4*(3+2)*15</f>
        <v>300</v>
      </c>
      <c r="D39" s="268">
        <f>250</f>
        <v>250</v>
      </c>
      <c r="E39" s="268">
        <f t="shared" ref="E39:E40" si="29">C39*D39</f>
        <v>75000</v>
      </c>
      <c r="F39" s="320" t="s">
        <v>779</v>
      </c>
      <c r="G39" s="318">
        <f>C39/4</f>
        <v>75</v>
      </c>
      <c r="H39" s="318">
        <f t="shared" ref="H39:H41" si="30">D39</f>
        <v>250</v>
      </c>
      <c r="I39" s="316">
        <f t="shared" ref="I39:I40" si="31">G39*H39</f>
        <v>18750</v>
      </c>
      <c r="J39" s="208"/>
      <c r="K39" s="315"/>
      <c r="L39" s="208"/>
      <c r="M39" s="208"/>
      <c r="N39" s="208"/>
      <c r="O39" s="208"/>
      <c r="P39" s="208"/>
      <c r="Q39" s="208"/>
      <c r="R39" s="208"/>
      <c r="S39" s="208"/>
      <c r="T39" s="208"/>
      <c r="U39" s="208"/>
      <c r="V39" s="199"/>
      <c r="W39" s="199"/>
      <c r="X39" s="199"/>
      <c r="Y39" s="199"/>
      <c r="Z39" s="199"/>
      <c r="AA39" s="199"/>
      <c r="AB39" s="199"/>
      <c r="AC39" s="309"/>
    </row>
    <row r="40" spans="1:29" ht="33" customHeight="1">
      <c r="A40" s="281" t="s">
        <v>791</v>
      </c>
      <c r="B40" s="266" t="s">
        <v>779</v>
      </c>
      <c r="C40" s="271">
        <f>2*8*4</f>
        <v>64</v>
      </c>
      <c r="D40" s="268">
        <f>D35</f>
        <v>180</v>
      </c>
      <c r="E40" s="268">
        <f t="shared" si="29"/>
        <v>11520</v>
      </c>
      <c r="F40" s="320" t="s">
        <v>779</v>
      </c>
      <c r="G40" s="318">
        <f t="shared" ref="G40:G41" si="32">C40/2</f>
        <v>32</v>
      </c>
      <c r="H40" s="318">
        <f t="shared" si="30"/>
        <v>180</v>
      </c>
      <c r="I40" s="316">
        <f t="shared" si="31"/>
        <v>5760</v>
      </c>
      <c r="J40" s="208"/>
      <c r="K40" s="315"/>
      <c r="L40" s="208"/>
      <c r="M40" s="208"/>
      <c r="N40" s="208"/>
      <c r="O40" s="208"/>
      <c r="P40" s="208"/>
      <c r="Q40" s="208"/>
      <c r="R40" s="208"/>
      <c r="S40" s="208"/>
      <c r="T40" s="208"/>
      <c r="U40" s="208"/>
      <c r="V40" s="199"/>
      <c r="W40" s="199"/>
      <c r="X40" s="199"/>
      <c r="Y40" s="199"/>
      <c r="Z40" s="199"/>
      <c r="AA40" s="199"/>
      <c r="AB40" s="199"/>
      <c r="AC40" s="309"/>
    </row>
    <row r="41" spans="1:29" ht="33" customHeight="1">
      <c r="A41" s="281" t="s">
        <v>792</v>
      </c>
      <c r="B41" s="266" t="s">
        <v>793</v>
      </c>
      <c r="C41" s="271">
        <f>2*20*(1+1+2)</f>
        <v>160</v>
      </c>
      <c r="D41" s="268">
        <f>D39</f>
        <v>250</v>
      </c>
      <c r="E41" s="268">
        <f>D41*C41</f>
        <v>40000</v>
      </c>
      <c r="F41" s="320" t="s">
        <v>779</v>
      </c>
      <c r="G41" s="318">
        <f t="shared" si="32"/>
        <v>80</v>
      </c>
      <c r="H41" s="318">
        <f t="shared" si="30"/>
        <v>250</v>
      </c>
      <c r="I41" s="316">
        <f>H41*G41</f>
        <v>20000</v>
      </c>
      <c r="J41" s="208"/>
      <c r="K41" s="315"/>
      <c r="L41" s="208"/>
      <c r="M41" s="208"/>
      <c r="N41" s="208"/>
      <c r="O41" s="208"/>
      <c r="P41" s="208"/>
      <c r="Q41" s="208"/>
      <c r="R41" s="208"/>
      <c r="S41" s="208"/>
      <c r="T41" s="208"/>
      <c r="U41" s="208"/>
      <c r="V41" s="199"/>
      <c r="W41" s="199"/>
      <c r="X41" s="199"/>
      <c r="Y41" s="199"/>
      <c r="Z41" s="199"/>
      <c r="AA41" s="199"/>
      <c r="AB41" s="199"/>
      <c r="AC41" s="309"/>
    </row>
    <row r="42" spans="1:29" ht="19.5" customHeight="1">
      <c r="A42" s="329" t="s">
        <v>794</v>
      </c>
      <c r="B42" s="330"/>
      <c r="C42" s="331"/>
      <c r="D42" s="332"/>
      <c r="E42" s="332" t="e">
        <f>E26+E13+E5</f>
        <v>#VALUE!</v>
      </c>
      <c r="F42" s="333"/>
      <c r="G42" s="333"/>
      <c r="H42" s="333"/>
      <c r="I42" s="333" t="e">
        <f>SUM(I4:I40)</f>
        <v>#VALUE!</v>
      </c>
      <c r="J42" s="208"/>
      <c r="K42" s="315"/>
      <c r="L42" s="208"/>
      <c r="M42" s="208"/>
      <c r="N42" s="208"/>
      <c r="O42" s="208"/>
      <c r="P42" s="208"/>
      <c r="Q42" s="208"/>
      <c r="R42" s="208"/>
      <c r="S42" s="208"/>
      <c r="T42" s="208"/>
      <c r="U42" s="208"/>
      <c r="V42" s="199"/>
      <c r="W42" s="199"/>
      <c r="X42" s="199"/>
      <c r="Y42" s="199"/>
      <c r="Z42" s="199"/>
      <c r="AA42" s="199"/>
      <c r="AB42" s="199"/>
      <c r="AC42" s="309"/>
    </row>
    <row r="43" spans="1:29" ht="15.75" customHeight="1">
      <c r="A43" s="277" t="s">
        <v>936</v>
      </c>
      <c r="B43" s="275"/>
      <c r="C43" s="278"/>
      <c r="D43" s="269"/>
      <c r="E43" s="269"/>
      <c r="F43" s="334"/>
      <c r="G43" s="316"/>
      <c r="H43" s="316"/>
      <c r="I43" s="316"/>
      <c r="J43" s="208"/>
      <c r="K43" s="315"/>
      <c r="L43" s="208"/>
      <c r="M43" s="208"/>
      <c r="N43" s="208"/>
      <c r="O43" s="208"/>
      <c r="P43" s="208"/>
      <c r="Q43" s="208"/>
      <c r="R43" s="208"/>
      <c r="S43" s="208"/>
      <c r="T43" s="208"/>
      <c r="U43" s="208"/>
      <c r="V43" s="199"/>
      <c r="W43" s="199"/>
      <c r="X43" s="199"/>
      <c r="Y43" s="199"/>
      <c r="Z43" s="199"/>
      <c r="AA43" s="199"/>
      <c r="AB43" s="199"/>
      <c r="AC43" s="309"/>
    </row>
    <row r="44" spans="1:29" ht="12.75" customHeight="1">
      <c r="A44" s="277"/>
      <c r="B44" s="275"/>
      <c r="C44" s="278"/>
      <c r="D44" s="269"/>
      <c r="E44" s="269"/>
      <c r="F44" s="334"/>
      <c r="G44" s="316"/>
      <c r="H44" s="316"/>
      <c r="I44" s="316"/>
      <c r="J44" s="208"/>
      <c r="K44" s="315"/>
      <c r="L44" s="208"/>
      <c r="M44" s="208"/>
      <c r="N44" s="208"/>
      <c r="O44" s="208"/>
      <c r="P44" s="208"/>
      <c r="Q44" s="208"/>
      <c r="R44" s="208"/>
      <c r="S44" s="208"/>
      <c r="T44" s="208"/>
      <c r="U44" s="208"/>
      <c r="V44" s="199"/>
      <c r="W44" s="199"/>
      <c r="X44" s="199"/>
      <c r="Y44" s="199"/>
      <c r="Z44" s="199"/>
      <c r="AA44" s="199"/>
      <c r="AB44" s="199"/>
      <c r="AC44" s="309"/>
    </row>
    <row r="45" spans="1:29" ht="13.5" customHeight="1">
      <c r="A45" s="282" t="s">
        <v>795</v>
      </c>
      <c r="B45" s="275" t="s">
        <v>796</v>
      </c>
      <c r="C45" s="267"/>
      <c r="D45" s="268"/>
      <c r="E45" s="269">
        <f>SUM(E46:E55)</f>
        <v>198000</v>
      </c>
      <c r="F45" s="316"/>
      <c r="G45" s="316"/>
      <c r="H45" s="316"/>
      <c r="I45" s="316">
        <f>SUM(I46:I53)</f>
        <v>61000</v>
      </c>
      <c r="J45" s="208"/>
      <c r="K45" s="315"/>
      <c r="L45" s="208"/>
      <c r="M45" s="208"/>
      <c r="N45" s="208"/>
      <c r="O45" s="208"/>
      <c r="P45" s="208"/>
      <c r="Q45" s="208"/>
      <c r="R45" s="208"/>
      <c r="S45" s="208"/>
      <c r="T45" s="208"/>
      <c r="U45" s="208"/>
      <c r="V45" s="199"/>
      <c r="W45" s="199"/>
      <c r="X45" s="199"/>
      <c r="Y45" s="199"/>
      <c r="Z45" s="199"/>
      <c r="AA45" s="199"/>
      <c r="AB45" s="199"/>
      <c r="AC45" s="309"/>
    </row>
    <row r="46" spans="1:29" ht="30.75" customHeight="1">
      <c r="A46" s="270" t="s">
        <v>797</v>
      </c>
      <c r="B46" s="266" t="s">
        <v>796</v>
      </c>
      <c r="C46" s="267">
        <f>15</f>
        <v>15</v>
      </c>
      <c r="D46" s="268">
        <f>1000</f>
        <v>1000</v>
      </c>
      <c r="E46" s="269">
        <f t="shared" ref="E46:E55" si="33">C46*D46</f>
        <v>15000</v>
      </c>
      <c r="F46" s="317" t="s">
        <v>796</v>
      </c>
      <c r="G46" s="318">
        <f t="shared" ref="G46:H46" si="34">C46</f>
        <v>15</v>
      </c>
      <c r="H46" s="318">
        <f t="shared" si="34"/>
        <v>1000</v>
      </c>
      <c r="I46" s="316">
        <f t="shared" ref="I46:I55" si="35">G46*H46</f>
        <v>15000</v>
      </c>
      <c r="J46" s="208"/>
      <c r="K46" s="315"/>
      <c r="L46" s="208"/>
      <c r="M46" s="208"/>
      <c r="N46" s="208"/>
      <c r="O46" s="208"/>
      <c r="P46" s="208"/>
      <c r="Q46" s="208"/>
      <c r="R46" s="208"/>
      <c r="S46" s="208"/>
      <c r="T46" s="208"/>
      <c r="U46" s="208"/>
      <c r="V46" s="199"/>
      <c r="W46" s="199"/>
      <c r="X46" s="199"/>
      <c r="Y46" s="199"/>
      <c r="Z46" s="199"/>
      <c r="AA46" s="199"/>
      <c r="AB46" s="199"/>
      <c r="AC46" s="309"/>
    </row>
    <row r="47" spans="1:29" ht="30.75" customHeight="1">
      <c r="A47" s="270" t="s">
        <v>798</v>
      </c>
      <c r="B47" s="266" t="s">
        <v>796</v>
      </c>
      <c r="C47" s="267">
        <f t="shared" ref="C47:D47" si="36">C46</f>
        <v>15</v>
      </c>
      <c r="D47" s="268">
        <f t="shared" si="36"/>
        <v>1000</v>
      </c>
      <c r="E47" s="269">
        <f t="shared" si="33"/>
        <v>15000</v>
      </c>
      <c r="F47" s="317" t="s">
        <v>796</v>
      </c>
      <c r="G47" s="318">
        <f t="shared" ref="G47:H47" si="37">G46</f>
        <v>15</v>
      </c>
      <c r="H47" s="318">
        <f t="shared" si="37"/>
        <v>1000</v>
      </c>
      <c r="I47" s="316">
        <f t="shared" si="35"/>
        <v>15000</v>
      </c>
      <c r="J47" s="208"/>
      <c r="K47" s="315"/>
      <c r="L47" s="208"/>
      <c r="M47" s="208"/>
      <c r="N47" s="208"/>
      <c r="O47" s="208"/>
      <c r="P47" s="208"/>
      <c r="Q47" s="208"/>
      <c r="R47" s="208"/>
      <c r="S47" s="208"/>
      <c r="T47" s="208"/>
      <c r="U47" s="208"/>
      <c r="V47" s="199"/>
      <c r="W47" s="199"/>
      <c r="X47" s="199"/>
      <c r="Y47" s="199"/>
      <c r="Z47" s="199"/>
      <c r="AA47" s="199"/>
      <c r="AB47" s="199"/>
      <c r="AC47" s="309"/>
    </row>
    <row r="48" spans="1:29" ht="39" customHeight="1">
      <c r="A48" s="270" t="s">
        <v>799</v>
      </c>
      <c r="B48" s="266" t="s">
        <v>796</v>
      </c>
      <c r="C48" s="267">
        <f>2*2</f>
        <v>4</v>
      </c>
      <c r="D48" s="268">
        <f t="shared" ref="D48:D53" si="38">D47</f>
        <v>1000</v>
      </c>
      <c r="E48" s="269">
        <f t="shared" si="33"/>
        <v>4000</v>
      </c>
      <c r="F48" s="317" t="s">
        <v>796</v>
      </c>
      <c r="G48" s="318">
        <f>C48/2</f>
        <v>2</v>
      </c>
      <c r="H48" s="318">
        <f t="shared" ref="H48:H50" si="39">D48</f>
        <v>1000</v>
      </c>
      <c r="I48" s="316">
        <f t="shared" si="35"/>
        <v>2000</v>
      </c>
      <c r="J48" s="208"/>
      <c r="K48" s="315"/>
      <c r="L48" s="208"/>
      <c r="M48" s="208"/>
      <c r="N48" s="208"/>
      <c r="O48" s="208"/>
      <c r="P48" s="208"/>
      <c r="Q48" s="208"/>
      <c r="R48" s="208"/>
      <c r="S48" s="208"/>
      <c r="T48" s="208"/>
      <c r="U48" s="208"/>
      <c r="V48" s="199"/>
      <c r="W48" s="199"/>
      <c r="X48" s="199"/>
      <c r="Y48" s="199"/>
      <c r="Z48" s="199"/>
      <c r="AA48" s="199"/>
      <c r="AB48" s="199"/>
      <c r="AC48" s="309"/>
    </row>
    <row r="49" spans="1:29" ht="43.5" customHeight="1">
      <c r="A49" s="270" t="s">
        <v>800</v>
      </c>
      <c r="B49" s="266" t="s">
        <v>796</v>
      </c>
      <c r="C49" s="267">
        <f>5*4*4</f>
        <v>80</v>
      </c>
      <c r="D49" s="268">
        <f t="shared" si="38"/>
        <v>1000</v>
      </c>
      <c r="E49" s="269">
        <f t="shared" si="33"/>
        <v>80000</v>
      </c>
      <c r="F49" s="317" t="s">
        <v>796</v>
      </c>
      <c r="G49" s="318">
        <f t="shared" ref="G49:G54" si="40">C49/4</f>
        <v>20</v>
      </c>
      <c r="H49" s="318">
        <f t="shared" si="39"/>
        <v>1000</v>
      </c>
      <c r="I49" s="316">
        <f t="shared" si="35"/>
        <v>20000</v>
      </c>
      <c r="J49" s="208"/>
      <c r="K49" s="315"/>
      <c r="L49" s="208"/>
      <c r="M49" s="208"/>
      <c r="N49" s="208"/>
      <c r="O49" s="208"/>
      <c r="P49" s="208"/>
      <c r="Q49" s="208"/>
      <c r="R49" s="208"/>
      <c r="S49" s="208"/>
      <c r="T49" s="208"/>
      <c r="U49" s="208"/>
      <c r="V49" s="199"/>
      <c r="W49" s="199"/>
      <c r="X49" s="199"/>
      <c r="Y49" s="199"/>
      <c r="Z49" s="199"/>
      <c r="AA49" s="199"/>
      <c r="AB49" s="199"/>
      <c r="AC49" s="309"/>
    </row>
    <row r="50" spans="1:29" ht="39" customHeight="1">
      <c r="A50" s="270" t="s">
        <v>801</v>
      </c>
      <c r="B50" s="266" t="s">
        <v>796</v>
      </c>
      <c r="C50" s="267">
        <f>2*4</f>
        <v>8</v>
      </c>
      <c r="D50" s="268">
        <f t="shared" si="38"/>
        <v>1000</v>
      </c>
      <c r="E50" s="269">
        <f t="shared" si="33"/>
        <v>8000</v>
      </c>
      <c r="F50" s="317" t="s">
        <v>796</v>
      </c>
      <c r="G50" s="318">
        <f t="shared" si="40"/>
        <v>2</v>
      </c>
      <c r="H50" s="318">
        <f t="shared" si="39"/>
        <v>1000</v>
      </c>
      <c r="I50" s="316">
        <f t="shared" si="35"/>
        <v>2000</v>
      </c>
      <c r="J50" s="208"/>
      <c r="K50" s="315"/>
      <c r="L50" s="208"/>
      <c r="M50" s="208"/>
      <c r="N50" s="208"/>
      <c r="O50" s="208"/>
      <c r="P50" s="208"/>
      <c r="Q50" s="208"/>
      <c r="R50" s="208"/>
      <c r="S50" s="208"/>
      <c r="T50" s="208"/>
      <c r="U50" s="208"/>
      <c r="V50" s="199"/>
      <c r="W50" s="199"/>
      <c r="X50" s="199"/>
      <c r="Y50" s="199"/>
      <c r="Z50" s="199"/>
      <c r="AA50" s="199"/>
      <c r="AB50" s="199"/>
      <c r="AC50" s="309"/>
    </row>
    <row r="51" spans="1:29" ht="30" customHeight="1">
      <c r="A51" s="270" t="s">
        <v>802</v>
      </c>
      <c r="B51" s="266" t="s">
        <v>796</v>
      </c>
      <c r="C51" s="267">
        <f>4*2</f>
        <v>8</v>
      </c>
      <c r="D51" s="268">
        <f t="shared" si="38"/>
        <v>1000</v>
      </c>
      <c r="E51" s="269">
        <f t="shared" si="33"/>
        <v>8000</v>
      </c>
      <c r="F51" s="317" t="s">
        <v>796</v>
      </c>
      <c r="G51" s="318">
        <f t="shared" si="40"/>
        <v>2</v>
      </c>
      <c r="H51" s="318">
        <f>H50</f>
        <v>1000</v>
      </c>
      <c r="I51" s="316">
        <f t="shared" si="35"/>
        <v>2000</v>
      </c>
      <c r="J51" s="208"/>
      <c r="K51" s="315"/>
      <c r="L51" s="208"/>
      <c r="M51" s="208"/>
      <c r="N51" s="208"/>
      <c r="O51" s="208"/>
      <c r="P51" s="208"/>
      <c r="Q51" s="208"/>
      <c r="R51" s="208"/>
      <c r="S51" s="208"/>
      <c r="T51" s="208"/>
      <c r="U51" s="208"/>
      <c r="V51" s="199"/>
      <c r="W51" s="199"/>
      <c r="X51" s="199"/>
      <c r="Y51" s="199"/>
      <c r="Z51" s="199"/>
      <c r="AA51" s="199"/>
      <c r="AB51" s="199"/>
      <c r="AC51" s="309"/>
    </row>
    <row r="52" spans="1:29" ht="36" customHeight="1">
      <c r="A52" s="281" t="s">
        <v>239</v>
      </c>
      <c r="B52" s="266" t="s">
        <v>796</v>
      </c>
      <c r="C52" s="267">
        <f>3*4</f>
        <v>12</v>
      </c>
      <c r="D52" s="268">
        <f t="shared" si="38"/>
        <v>1000</v>
      </c>
      <c r="E52" s="269">
        <f t="shared" si="33"/>
        <v>12000</v>
      </c>
      <c r="F52" s="317" t="s">
        <v>796</v>
      </c>
      <c r="G52" s="318">
        <f t="shared" si="40"/>
        <v>3</v>
      </c>
      <c r="H52" s="318">
        <f t="shared" ref="H52:H55" si="41">D52</f>
        <v>1000</v>
      </c>
      <c r="I52" s="316">
        <f t="shared" si="35"/>
        <v>3000</v>
      </c>
      <c r="J52" s="208"/>
      <c r="K52" s="315"/>
      <c r="L52" s="208"/>
      <c r="M52" s="208"/>
      <c r="N52" s="208"/>
      <c r="O52" s="208"/>
      <c r="P52" s="208"/>
      <c r="Q52" s="208"/>
      <c r="R52" s="208"/>
      <c r="S52" s="208"/>
      <c r="T52" s="208"/>
      <c r="U52" s="208"/>
      <c r="V52" s="199"/>
      <c r="W52" s="199"/>
      <c r="X52" s="199"/>
      <c r="Y52" s="199"/>
      <c r="Z52" s="199"/>
      <c r="AA52" s="199"/>
      <c r="AB52" s="199"/>
      <c r="AC52" s="309"/>
    </row>
    <row r="53" spans="1:29" ht="31.5" customHeight="1">
      <c r="A53" s="281" t="s">
        <v>803</v>
      </c>
      <c r="B53" s="266" t="s">
        <v>796</v>
      </c>
      <c r="C53" s="267">
        <f>2*2*2</f>
        <v>8</v>
      </c>
      <c r="D53" s="268">
        <f t="shared" si="38"/>
        <v>1000</v>
      </c>
      <c r="E53" s="269">
        <f t="shared" si="33"/>
        <v>8000</v>
      </c>
      <c r="F53" s="317" t="s">
        <v>796</v>
      </c>
      <c r="G53" s="318">
        <f t="shared" si="40"/>
        <v>2</v>
      </c>
      <c r="H53" s="318">
        <f t="shared" si="41"/>
        <v>1000</v>
      </c>
      <c r="I53" s="316">
        <f t="shared" si="35"/>
        <v>2000</v>
      </c>
      <c r="J53" s="208"/>
      <c r="K53" s="315"/>
      <c r="L53" s="208"/>
      <c r="M53" s="208"/>
      <c r="N53" s="208"/>
      <c r="O53" s="208"/>
      <c r="P53" s="208"/>
      <c r="Q53" s="208"/>
      <c r="R53" s="208"/>
      <c r="S53" s="208"/>
      <c r="T53" s="208"/>
      <c r="U53" s="208"/>
      <c r="V53" s="199"/>
      <c r="W53" s="199"/>
      <c r="X53" s="199"/>
      <c r="Y53" s="199"/>
      <c r="Z53" s="199"/>
      <c r="AA53" s="199"/>
      <c r="AB53" s="199"/>
      <c r="AC53" s="309"/>
    </row>
    <row r="54" spans="1:29" ht="24.75" customHeight="1">
      <c r="A54" s="281" t="s">
        <v>804</v>
      </c>
      <c r="B54" s="266" t="s">
        <v>805</v>
      </c>
      <c r="C54" s="267">
        <f>3*3*4</f>
        <v>36</v>
      </c>
      <c r="D54" s="268">
        <f t="shared" ref="D54:D55" si="42">1000</f>
        <v>1000</v>
      </c>
      <c r="E54" s="269">
        <f t="shared" si="33"/>
        <v>36000</v>
      </c>
      <c r="F54" s="317" t="s">
        <v>805</v>
      </c>
      <c r="G54" s="318">
        <f t="shared" si="40"/>
        <v>9</v>
      </c>
      <c r="H54" s="318">
        <f t="shared" si="41"/>
        <v>1000</v>
      </c>
      <c r="I54" s="316">
        <f t="shared" si="35"/>
        <v>9000</v>
      </c>
      <c r="J54" s="208"/>
      <c r="K54" s="315"/>
      <c r="L54" s="208"/>
      <c r="M54" s="208"/>
      <c r="N54" s="208"/>
      <c r="O54" s="208"/>
      <c r="P54" s="208"/>
      <c r="Q54" s="208"/>
      <c r="R54" s="208"/>
      <c r="S54" s="208"/>
      <c r="T54" s="208"/>
      <c r="U54" s="208"/>
      <c r="V54" s="199"/>
      <c r="W54" s="199"/>
      <c r="X54" s="199"/>
      <c r="Y54" s="199"/>
      <c r="Z54" s="199"/>
      <c r="AA54" s="199"/>
      <c r="AB54" s="199"/>
      <c r="AC54" s="309"/>
    </row>
    <row r="55" spans="1:29" ht="33" customHeight="1">
      <c r="A55" s="281" t="s">
        <v>806</v>
      </c>
      <c r="B55" s="266" t="s">
        <v>805</v>
      </c>
      <c r="C55" s="267">
        <f>12</f>
        <v>12</v>
      </c>
      <c r="D55" s="268">
        <f t="shared" si="42"/>
        <v>1000</v>
      </c>
      <c r="E55" s="269">
        <f t="shared" si="33"/>
        <v>12000</v>
      </c>
      <c r="F55" s="317" t="s">
        <v>807</v>
      </c>
      <c r="G55" s="318">
        <f>C55/4+5</f>
        <v>8</v>
      </c>
      <c r="H55" s="318">
        <f t="shared" si="41"/>
        <v>1000</v>
      </c>
      <c r="I55" s="316">
        <f t="shared" si="35"/>
        <v>8000</v>
      </c>
      <c r="J55" s="208"/>
      <c r="K55" s="315"/>
      <c r="L55" s="208"/>
      <c r="M55" s="208"/>
      <c r="N55" s="208"/>
      <c r="O55" s="208"/>
      <c r="P55" s="208"/>
      <c r="Q55" s="208"/>
      <c r="R55" s="208"/>
      <c r="S55" s="208"/>
      <c r="T55" s="208"/>
      <c r="U55" s="208"/>
      <c r="V55" s="199"/>
      <c r="W55" s="199"/>
      <c r="X55" s="199"/>
      <c r="Y55" s="199"/>
      <c r="Z55" s="199"/>
      <c r="AA55" s="199"/>
      <c r="AB55" s="199"/>
      <c r="AC55" s="309"/>
    </row>
    <row r="56" spans="1:29" ht="12.75" customHeight="1">
      <c r="A56" s="281"/>
      <c r="B56" s="266"/>
      <c r="C56" s="267"/>
      <c r="D56" s="268"/>
      <c r="E56" s="269"/>
      <c r="F56" s="317"/>
      <c r="G56" s="318"/>
      <c r="H56" s="318"/>
      <c r="I56" s="316"/>
      <c r="J56" s="208"/>
      <c r="K56" s="315"/>
      <c r="L56" s="208"/>
      <c r="M56" s="208"/>
      <c r="N56" s="208"/>
      <c r="O56" s="208"/>
      <c r="P56" s="208"/>
      <c r="Q56" s="208"/>
      <c r="R56" s="208"/>
      <c r="S56" s="208"/>
      <c r="T56" s="208"/>
      <c r="U56" s="208"/>
      <c r="V56" s="199"/>
      <c r="W56" s="199"/>
      <c r="X56" s="199"/>
      <c r="Y56" s="199"/>
      <c r="Z56" s="199"/>
      <c r="AA56" s="199"/>
      <c r="AB56" s="199"/>
      <c r="AC56" s="309"/>
    </row>
    <row r="57" spans="1:29" ht="13.5" customHeight="1">
      <c r="A57" s="282" t="s">
        <v>808</v>
      </c>
      <c r="B57" s="266"/>
      <c r="C57" s="267"/>
      <c r="D57" s="268"/>
      <c r="E57" s="269">
        <f>E59+E64</f>
        <v>147400</v>
      </c>
      <c r="F57" s="316"/>
      <c r="G57" s="316"/>
      <c r="H57" s="316"/>
      <c r="I57" s="316">
        <f>I59+I64</f>
        <v>50850</v>
      </c>
      <c r="J57" s="208"/>
      <c r="K57" s="315"/>
      <c r="L57" s="208"/>
      <c r="M57" s="208"/>
      <c r="N57" s="208"/>
      <c r="O57" s="208"/>
      <c r="P57" s="208"/>
      <c r="Q57" s="208"/>
      <c r="R57" s="208"/>
      <c r="S57" s="208"/>
      <c r="T57" s="208"/>
      <c r="U57" s="208"/>
      <c r="V57" s="199"/>
      <c r="W57" s="199"/>
      <c r="X57" s="199"/>
      <c r="Y57" s="199"/>
      <c r="Z57" s="199"/>
      <c r="AA57" s="199"/>
      <c r="AB57" s="199"/>
      <c r="AC57" s="309"/>
    </row>
    <row r="58" spans="1:29" ht="12.75" customHeight="1">
      <c r="A58" s="282"/>
      <c r="B58" s="276"/>
      <c r="C58" s="263"/>
      <c r="D58" s="263"/>
      <c r="E58" s="263"/>
      <c r="F58" s="208"/>
      <c r="G58" s="335"/>
      <c r="H58" s="208"/>
      <c r="I58" s="208"/>
      <c r="J58" s="208"/>
      <c r="K58" s="315"/>
      <c r="L58" s="208"/>
      <c r="M58" s="208"/>
      <c r="N58" s="208"/>
      <c r="O58" s="208"/>
      <c r="P58" s="208"/>
      <c r="Q58" s="208"/>
      <c r="R58" s="208"/>
      <c r="S58" s="208"/>
      <c r="T58" s="208"/>
      <c r="U58" s="208"/>
      <c r="V58" s="199"/>
      <c r="W58" s="199"/>
      <c r="X58" s="199"/>
      <c r="Y58" s="199"/>
      <c r="Z58" s="199"/>
      <c r="AA58" s="199"/>
      <c r="AB58" s="199"/>
      <c r="AC58" s="309"/>
    </row>
    <row r="59" spans="1:29" ht="25.5" customHeight="1">
      <c r="A59" s="282" t="s">
        <v>809</v>
      </c>
      <c r="B59" s="266"/>
      <c r="C59" s="267"/>
      <c r="D59" s="268"/>
      <c r="E59" s="269">
        <f>SUM(E60:E62)</f>
        <v>116000</v>
      </c>
      <c r="F59" s="316"/>
      <c r="G59" s="316"/>
      <c r="H59" s="316"/>
      <c r="I59" s="316">
        <f>SUM(I60:I62)</f>
        <v>43000</v>
      </c>
      <c r="J59" s="208"/>
      <c r="K59" s="315"/>
      <c r="L59" s="208"/>
      <c r="M59" s="208"/>
      <c r="N59" s="208"/>
      <c r="O59" s="208"/>
      <c r="P59" s="208"/>
      <c r="Q59" s="208"/>
      <c r="R59" s="208"/>
      <c r="S59" s="208"/>
      <c r="T59" s="208"/>
      <c r="U59" s="208"/>
      <c r="V59" s="199"/>
      <c r="W59" s="199"/>
      <c r="X59" s="199"/>
      <c r="Y59" s="199"/>
      <c r="Z59" s="199"/>
      <c r="AA59" s="199"/>
      <c r="AB59" s="199"/>
      <c r="AC59" s="309"/>
    </row>
    <row r="60" spans="1:29" ht="27.75" customHeight="1">
      <c r="A60" s="281" t="s">
        <v>810</v>
      </c>
      <c r="B60" s="266" t="s">
        <v>796</v>
      </c>
      <c r="C60" s="267">
        <f>4*15</f>
        <v>60</v>
      </c>
      <c r="D60" s="268">
        <f>D53</f>
        <v>1000</v>
      </c>
      <c r="E60" s="268">
        <f t="shared" ref="E60:E62" si="43">C60*D60</f>
        <v>60000</v>
      </c>
      <c r="F60" s="317" t="s">
        <v>796</v>
      </c>
      <c r="G60" s="318">
        <f>C60/4</f>
        <v>15</v>
      </c>
      <c r="H60" s="318">
        <f t="shared" ref="H60:H62" si="44">D60</f>
        <v>1000</v>
      </c>
      <c r="I60" s="316">
        <f t="shared" ref="I60:I62" si="45">G60*H60</f>
        <v>15000</v>
      </c>
      <c r="J60" s="208"/>
      <c r="K60" s="315"/>
      <c r="L60" s="208"/>
      <c r="M60" s="208"/>
      <c r="N60" s="208"/>
      <c r="O60" s="208"/>
      <c r="P60" s="208"/>
      <c r="Q60" s="208"/>
      <c r="R60" s="208"/>
      <c r="S60" s="208"/>
      <c r="T60" s="208"/>
      <c r="U60" s="208"/>
      <c r="V60" s="199"/>
      <c r="W60" s="199"/>
      <c r="X60" s="199"/>
      <c r="Y60" s="199"/>
      <c r="Z60" s="199"/>
      <c r="AA60" s="199"/>
      <c r="AB60" s="199"/>
      <c r="AC60" s="309"/>
    </row>
    <row r="61" spans="1:29" ht="31.5" customHeight="1">
      <c r="A61" s="281" t="s">
        <v>811</v>
      </c>
      <c r="B61" s="266" t="s">
        <v>796</v>
      </c>
      <c r="C61" s="267">
        <f>2*8</f>
        <v>16</v>
      </c>
      <c r="D61" s="268">
        <f t="shared" ref="D61:D62" si="46">D60</f>
        <v>1000</v>
      </c>
      <c r="E61" s="268">
        <f t="shared" si="43"/>
        <v>16000</v>
      </c>
      <c r="F61" s="317" t="s">
        <v>796</v>
      </c>
      <c r="G61" s="318">
        <f t="shared" ref="G61:G62" si="47">C61/2</f>
        <v>8</v>
      </c>
      <c r="H61" s="318">
        <f t="shared" si="44"/>
        <v>1000</v>
      </c>
      <c r="I61" s="316">
        <f t="shared" si="45"/>
        <v>8000</v>
      </c>
      <c r="J61" s="208"/>
      <c r="K61" s="315"/>
      <c r="L61" s="208"/>
      <c r="M61" s="208"/>
      <c r="N61" s="208"/>
      <c r="O61" s="208"/>
      <c r="P61" s="208"/>
      <c r="Q61" s="208"/>
      <c r="R61" s="208"/>
      <c r="S61" s="208"/>
      <c r="T61" s="208"/>
      <c r="U61" s="208"/>
      <c r="V61" s="199"/>
      <c r="W61" s="199"/>
      <c r="X61" s="199"/>
      <c r="Y61" s="199"/>
      <c r="Z61" s="199"/>
      <c r="AA61" s="199"/>
      <c r="AB61" s="199"/>
      <c r="AC61" s="309"/>
    </row>
    <row r="62" spans="1:29" ht="27.75" customHeight="1">
      <c r="A62" s="281" t="s">
        <v>937</v>
      </c>
      <c r="B62" s="266" t="s">
        <v>796</v>
      </c>
      <c r="C62" s="267">
        <f>20*2</f>
        <v>40</v>
      </c>
      <c r="D62" s="268">
        <f t="shared" si="46"/>
        <v>1000</v>
      </c>
      <c r="E62" s="268">
        <f t="shared" si="43"/>
        <v>40000</v>
      </c>
      <c r="F62" s="317" t="s">
        <v>796</v>
      </c>
      <c r="G62" s="318">
        <f t="shared" si="47"/>
        <v>20</v>
      </c>
      <c r="H62" s="318">
        <f t="shared" si="44"/>
        <v>1000</v>
      </c>
      <c r="I62" s="316">
        <f t="shared" si="45"/>
        <v>20000</v>
      </c>
      <c r="J62" s="208"/>
      <c r="K62" s="315"/>
      <c r="L62" s="208"/>
      <c r="M62" s="208"/>
      <c r="N62" s="208"/>
      <c r="O62" s="208"/>
      <c r="P62" s="208"/>
      <c r="Q62" s="208"/>
      <c r="R62" s="208"/>
      <c r="S62" s="208"/>
      <c r="T62" s="208"/>
      <c r="U62" s="208"/>
      <c r="V62" s="199"/>
      <c r="W62" s="199"/>
      <c r="X62" s="199"/>
      <c r="Y62" s="199"/>
      <c r="Z62" s="199"/>
      <c r="AA62" s="199"/>
      <c r="AB62" s="199"/>
      <c r="AC62" s="309"/>
    </row>
    <row r="63" spans="1:29" ht="12.75" customHeight="1">
      <c r="A63" s="281"/>
      <c r="B63" s="266"/>
      <c r="C63" s="267"/>
      <c r="D63" s="268"/>
      <c r="E63" s="269"/>
      <c r="F63" s="317"/>
      <c r="G63" s="318"/>
      <c r="H63" s="318"/>
      <c r="I63" s="316"/>
      <c r="J63" s="208"/>
      <c r="K63" s="315"/>
      <c r="L63" s="208"/>
      <c r="M63" s="208"/>
      <c r="N63" s="208"/>
      <c r="O63" s="208"/>
      <c r="P63" s="208"/>
      <c r="Q63" s="208"/>
      <c r="R63" s="208"/>
      <c r="S63" s="208"/>
      <c r="T63" s="208"/>
      <c r="U63" s="208"/>
      <c r="V63" s="199"/>
      <c r="W63" s="199"/>
      <c r="X63" s="199"/>
      <c r="Y63" s="199"/>
      <c r="Z63" s="199"/>
      <c r="AA63" s="199"/>
      <c r="AB63" s="199"/>
      <c r="AC63" s="309"/>
    </row>
    <row r="64" spans="1:29" ht="13.5" customHeight="1">
      <c r="A64" s="282" t="s">
        <v>813</v>
      </c>
      <c r="B64" s="266"/>
      <c r="C64" s="267"/>
      <c r="D64" s="268"/>
      <c r="E64" s="269">
        <f>E65</f>
        <v>31400</v>
      </c>
      <c r="F64" s="317"/>
      <c r="G64" s="318"/>
      <c r="H64" s="318"/>
      <c r="I64" s="316">
        <f>I65</f>
        <v>7850</v>
      </c>
      <c r="J64" s="208"/>
      <c r="K64" s="315"/>
      <c r="L64" s="208"/>
      <c r="M64" s="208"/>
      <c r="N64" s="208"/>
      <c r="O64" s="208"/>
      <c r="P64" s="208"/>
      <c r="Q64" s="208"/>
      <c r="R64" s="208"/>
      <c r="S64" s="208"/>
      <c r="T64" s="208"/>
      <c r="U64" s="208"/>
      <c r="V64" s="199"/>
      <c r="W64" s="199"/>
      <c r="X64" s="199"/>
      <c r="Y64" s="199"/>
      <c r="Z64" s="199"/>
      <c r="AA64" s="199"/>
      <c r="AB64" s="199"/>
      <c r="AC64" s="309"/>
    </row>
    <row r="65" spans="1:29" ht="13.5" customHeight="1">
      <c r="A65" s="281" t="s">
        <v>100</v>
      </c>
      <c r="B65" s="266"/>
      <c r="C65" s="267">
        <f>SUM(C46:C62)</f>
        <v>314</v>
      </c>
      <c r="D65" s="268">
        <f>100</f>
        <v>100</v>
      </c>
      <c r="E65" s="268">
        <f>C65*D65</f>
        <v>31400</v>
      </c>
      <c r="F65" s="317"/>
      <c r="G65" s="318">
        <f>C65/4</f>
        <v>78.5</v>
      </c>
      <c r="H65" s="318">
        <f>D65</f>
        <v>100</v>
      </c>
      <c r="I65" s="316">
        <f>G65*H65</f>
        <v>7850</v>
      </c>
      <c r="J65" s="208"/>
      <c r="K65" s="315"/>
      <c r="L65" s="208"/>
      <c r="M65" s="208"/>
      <c r="N65" s="208"/>
      <c r="O65" s="208"/>
      <c r="P65" s="208"/>
      <c r="Q65" s="208"/>
      <c r="R65" s="208"/>
      <c r="S65" s="208"/>
      <c r="T65" s="208"/>
      <c r="U65" s="208"/>
      <c r="V65" s="199"/>
      <c r="W65" s="199"/>
      <c r="X65" s="199"/>
      <c r="Y65" s="199"/>
      <c r="Z65" s="199"/>
      <c r="AA65" s="199"/>
      <c r="AB65" s="199"/>
      <c r="AC65" s="309"/>
    </row>
    <row r="66" spans="1:29" ht="12.75" customHeight="1">
      <c r="A66" s="281"/>
      <c r="B66" s="266"/>
      <c r="C66" s="267"/>
      <c r="D66" s="268"/>
      <c r="E66" s="269"/>
      <c r="F66" s="317"/>
      <c r="G66" s="318"/>
      <c r="H66" s="318"/>
      <c r="I66" s="316"/>
      <c r="J66" s="208"/>
      <c r="K66" s="315"/>
      <c r="L66" s="208"/>
      <c r="M66" s="208"/>
      <c r="N66" s="208"/>
      <c r="O66" s="208"/>
      <c r="P66" s="208"/>
      <c r="Q66" s="208"/>
      <c r="R66" s="208"/>
      <c r="S66" s="208"/>
      <c r="T66" s="208"/>
      <c r="U66" s="208"/>
      <c r="V66" s="199"/>
      <c r="W66" s="199"/>
      <c r="X66" s="199"/>
      <c r="Y66" s="199"/>
      <c r="Z66" s="199"/>
      <c r="AA66" s="199"/>
      <c r="AB66" s="199"/>
      <c r="AC66" s="309"/>
    </row>
    <row r="67" spans="1:29" ht="13.5" customHeight="1">
      <c r="A67" s="282" t="s">
        <v>814</v>
      </c>
      <c r="B67" s="275"/>
      <c r="C67" s="284"/>
      <c r="D67" s="269"/>
      <c r="E67" s="269">
        <f>E68</f>
        <v>20000</v>
      </c>
      <c r="F67" s="334"/>
      <c r="G67" s="316"/>
      <c r="H67" s="316"/>
      <c r="I67" s="316">
        <f>I68</f>
        <v>10000</v>
      </c>
      <c r="J67" s="319"/>
      <c r="K67" s="328"/>
      <c r="L67" s="319"/>
      <c r="M67" s="319"/>
      <c r="N67" s="319"/>
      <c r="O67" s="319"/>
      <c r="P67" s="319"/>
      <c r="Q67" s="319"/>
      <c r="R67" s="319"/>
      <c r="S67" s="319"/>
      <c r="T67" s="319"/>
      <c r="U67" s="319"/>
      <c r="V67" s="192"/>
      <c r="W67" s="192"/>
      <c r="X67" s="192"/>
      <c r="Y67" s="192"/>
      <c r="Z67" s="192"/>
      <c r="AA67" s="192"/>
      <c r="AB67" s="192"/>
      <c r="AC67" s="309"/>
    </row>
    <row r="68" spans="1:29" ht="30" customHeight="1">
      <c r="A68" s="281" t="s">
        <v>104</v>
      </c>
      <c r="B68" s="266" t="s">
        <v>815</v>
      </c>
      <c r="C68" s="271">
        <v>20</v>
      </c>
      <c r="D68" s="268">
        <f>1000</f>
        <v>1000</v>
      </c>
      <c r="E68" s="268">
        <f>C68*D68</f>
        <v>20000</v>
      </c>
      <c r="F68" s="317"/>
      <c r="G68" s="318">
        <f>20/2</f>
        <v>10</v>
      </c>
      <c r="H68" s="316">
        <f>D68</f>
        <v>1000</v>
      </c>
      <c r="I68" s="316">
        <f>G68*H68</f>
        <v>10000</v>
      </c>
      <c r="J68" s="208"/>
      <c r="K68" s="315"/>
      <c r="L68" s="208"/>
      <c r="M68" s="208"/>
      <c r="N68" s="208"/>
      <c r="O68" s="208"/>
      <c r="P68" s="208"/>
      <c r="Q68" s="208"/>
      <c r="R68" s="208"/>
      <c r="S68" s="208"/>
      <c r="T68" s="208"/>
      <c r="U68" s="208"/>
      <c r="V68" s="199"/>
      <c r="W68" s="199"/>
      <c r="X68" s="199"/>
      <c r="Y68" s="199"/>
      <c r="Z68" s="199"/>
      <c r="AA68" s="199"/>
      <c r="AB68" s="199"/>
      <c r="AC68" s="309"/>
    </row>
    <row r="69" spans="1:29" ht="13.5" customHeight="1">
      <c r="A69" s="281"/>
      <c r="B69" s="266"/>
      <c r="C69" s="271"/>
      <c r="D69" s="268"/>
      <c r="E69" s="268"/>
      <c r="F69" s="317"/>
      <c r="G69" s="318"/>
      <c r="H69" s="316"/>
      <c r="I69" s="316"/>
      <c r="J69" s="208"/>
      <c r="K69" s="315"/>
      <c r="L69" s="208"/>
      <c r="M69" s="208"/>
      <c r="N69" s="208"/>
      <c r="O69" s="208"/>
      <c r="P69" s="208"/>
      <c r="Q69" s="208"/>
      <c r="R69" s="208"/>
      <c r="S69" s="208"/>
      <c r="T69" s="208"/>
      <c r="U69" s="208"/>
      <c r="V69" s="199"/>
      <c r="W69" s="199"/>
      <c r="X69" s="199"/>
      <c r="Y69" s="199"/>
      <c r="Z69" s="199"/>
      <c r="AA69" s="199"/>
      <c r="AB69" s="199"/>
      <c r="AC69" s="309"/>
    </row>
    <row r="70" spans="1:29" ht="15" customHeight="1">
      <c r="A70" s="336" t="s">
        <v>816</v>
      </c>
      <c r="B70" s="330"/>
      <c r="C70" s="331"/>
      <c r="D70" s="337"/>
      <c r="E70" s="332">
        <f>E45+E57+E67</f>
        <v>365400</v>
      </c>
      <c r="F70" s="338"/>
      <c r="G70" s="339"/>
      <c r="H70" s="339"/>
      <c r="I70" s="333">
        <f>I45+I57+I67</f>
        <v>121850</v>
      </c>
      <c r="J70" s="208"/>
      <c r="K70" s="315"/>
      <c r="L70" s="208"/>
      <c r="M70" s="208"/>
      <c r="N70" s="208"/>
      <c r="O70" s="208"/>
      <c r="P70" s="208"/>
      <c r="Q70" s="208"/>
      <c r="R70" s="208"/>
      <c r="S70" s="208"/>
      <c r="T70" s="208"/>
      <c r="U70" s="208"/>
      <c r="V70" s="199"/>
      <c r="W70" s="199"/>
      <c r="X70" s="199"/>
      <c r="Y70" s="199"/>
      <c r="Z70" s="199"/>
      <c r="AA70" s="199"/>
      <c r="AB70" s="199"/>
      <c r="AC70" s="309"/>
    </row>
    <row r="71" spans="1:29" ht="15" customHeight="1">
      <c r="A71" s="277" t="s">
        <v>938</v>
      </c>
      <c r="B71" s="275"/>
      <c r="C71" s="278"/>
      <c r="D71" s="269"/>
      <c r="E71" s="269"/>
      <c r="F71" s="334"/>
      <c r="G71" s="316"/>
      <c r="H71" s="316"/>
      <c r="I71" s="316"/>
      <c r="J71" s="208"/>
      <c r="K71" s="315"/>
      <c r="L71" s="208"/>
      <c r="M71" s="208"/>
      <c r="N71" s="208"/>
      <c r="O71" s="208"/>
      <c r="P71" s="208"/>
      <c r="Q71" s="208"/>
      <c r="R71" s="208"/>
      <c r="S71" s="208"/>
      <c r="T71" s="208"/>
      <c r="U71" s="208"/>
      <c r="V71" s="199"/>
      <c r="W71" s="199"/>
      <c r="X71" s="199"/>
      <c r="Y71" s="199"/>
      <c r="Z71" s="199"/>
      <c r="AA71" s="199"/>
      <c r="AB71" s="199"/>
      <c r="AC71" s="309"/>
    </row>
    <row r="72" spans="1:29" ht="13.5" customHeight="1">
      <c r="A72" s="270" t="s">
        <v>344</v>
      </c>
      <c r="B72" s="266" t="s">
        <v>817</v>
      </c>
      <c r="C72" s="267">
        <v>1</v>
      </c>
      <c r="D72" s="268">
        <f>65000</f>
        <v>65000</v>
      </c>
      <c r="E72" s="268">
        <f>C72*D72</f>
        <v>65000</v>
      </c>
      <c r="F72" s="317" t="s">
        <v>818</v>
      </c>
      <c r="G72" s="318">
        <f>1</f>
        <v>1</v>
      </c>
      <c r="H72" s="318">
        <f>D72</f>
        <v>65000</v>
      </c>
      <c r="I72" s="316">
        <f>G72*H72</f>
        <v>65000</v>
      </c>
      <c r="J72" s="208"/>
      <c r="K72" s="315"/>
      <c r="L72" s="208"/>
      <c r="M72" s="208"/>
      <c r="N72" s="208"/>
      <c r="O72" s="208"/>
      <c r="P72" s="208"/>
      <c r="Q72" s="208"/>
      <c r="R72" s="208"/>
      <c r="S72" s="208"/>
      <c r="T72" s="208"/>
      <c r="U72" s="208"/>
      <c r="V72" s="199"/>
      <c r="W72" s="199"/>
      <c r="X72" s="199"/>
      <c r="Y72" s="199"/>
      <c r="Z72" s="199"/>
      <c r="AA72" s="199"/>
      <c r="AB72" s="199"/>
      <c r="AC72" s="309"/>
    </row>
    <row r="73" spans="1:29" ht="13.5" customHeight="1">
      <c r="A73" s="277" t="s">
        <v>819</v>
      </c>
      <c r="B73" s="266"/>
      <c r="C73" s="267"/>
      <c r="D73" s="268"/>
      <c r="E73" s="269"/>
      <c r="F73" s="317"/>
      <c r="G73" s="318"/>
      <c r="H73" s="318"/>
      <c r="I73" s="316"/>
      <c r="J73" s="208"/>
      <c r="K73" s="315"/>
      <c r="L73" s="208"/>
      <c r="M73" s="208"/>
      <c r="N73" s="208"/>
      <c r="O73" s="208"/>
      <c r="P73" s="208"/>
      <c r="Q73" s="208"/>
      <c r="R73" s="208"/>
      <c r="S73" s="208"/>
      <c r="T73" s="208"/>
      <c r="U73" s="208"/>
      <c r="V73" s="199"/>
      <c r="W73" s="199"/>
      <c r="X73" s="199"/>
      <c r="Y73" s="199"/>
      <c r="Z73" s="199"/>
      <c r="AA73" s="199"/>
      <c r="AB73" s="199"/>
      <c r="AC73" s="309"/>
    </row>
    <row r="74" spans="1:29" ht="43.5" customHeight="1">
      <c r="A74" s="270" t="s">
        <v>271</v>
      </c>
      <c r="B74" s="266" t="s">
        <v>821</v>
      </c>
      <c r="C74" s="267"/>
      <c r="D74" s="268" t="s">
        <v>1293</v>
      </c>
      <c r="E74" s="268" t="str">
        <f>D74</f>
        <v>#ERROR!</v>
      </c>
      <c r="F74" s="317" t="s">
        <v>822</v>
      </c>
      <c r="G74" s="318"/>
      <c r="H74" s="318"/>
      <c r="I74" s="316" t="str">
        <f>E74</f>
        <v>#ERROR!</v>
      </c>
      <c r="J74" s="208"/>
      <c r="K74" s="315"/>
      <c r="L74" s="208"/>
      <c r="M74" s="208"/>
      <c r="N74" s="208"/>
      <c r="O74" s="208"/>
      <c r="P74" s="208"/>
      <c r="Q74" s="208"/>
      <c r="R74" s="208"/>
      <c r="S74" s="208"/>
      <c r="T74" s="208"/>
      <c r="U74" s="208"/>
      <c r="V74" s="199"/>
      <c r="W74" s="199"/>
      <c r="X74" s="199"/>
      <c r="Y74" s="199"/>
      <c r="Z74" s="199"/>
      <c r="AA74" s="199"/>
      <c r="AB74" s="199"/>
      <c r="AC74" s="309"/>
    </row>
    <row r="75" spans="1:29" ht="13.5" customHeight="1">
      <c r="A75" s="270" t="s">
        <v>939</v>
      </c>
      <c r="B75" s="266" t="s">
        <v>824</v>
      </c>
      <c r="C75" s="267">
        <v>5</v>
      </c>
      <c r="D75" s="268"/>
      <c r="E75" s="268" t="s">
        <v>1293</v>
      </c>
      <c r="F75" s="317" t="s">
        <v>825</v>
      </c>
      <c r="G75" s="318"/>
      <c r="H75" s="318"/>
      <c r="I75" s="316" t="e">
        <f>E75/3</f>
        <v>#VALUE!</v>
      </c>
      <c r="J75" s="208"/>
      <c r="K75" s="315"/>
      <c r="L75" s="208"/>
      <c r="M75" s="208"/>
      <c r="N75" s="208"/>
      <c r="O75" s="208"/>
      <c r="P75" s="208"/>
      <c r="Q75" s="208"/>
      <c r="R75" s="208"/>
      <c r="S75" s="208"/>
      <c r="T75" s="208"/>
      <c r="U75" s="208"/>
      <c r="V75" s="199"/>
      <c r="W75" s="199"/>
      <c r="X75" s="199"/>
      <c r="Y75" s="199"/>
      <c r="Z75" s="199"/>
      <c r="AA75" s="199"/>
      <c r="AB75" s="199"/>
      <c r="AC75" s="309"/>
    </row>
    <row r="76" spans="1:29" ht="15.75" customHeight="1">
      <c r="A76" s="270" t="s">
        <v>940</v>
      </c>
      <c r="B76" s="266" t="s">
        <v>827</v>
      </c>
      <c r="C76" s="267">
        <f>1*1</f>
        <v>1</v>
      </c>
      <c r="D76" s="268" t="s">
        <v>1293</v>
      </c>
      <c r="E76" s="268" t="str">
        <f>D76</f>
        <v>#ERROR!</v>
      </c>
      <c r="F76" s="317" t="s">
        <v>827</v>
      </c>
      <c r="G76" s="318">
        <f>1*1</f>
        <v>1</v>
      </c>
      <c r="H76" s="318">
        <v>11000</v>
      </c>
      <c r="I76" s="316">
        <f t="shared" ref="I76:I77" si="48">G76*H76</f>
        <v>11000</v>
      </c>
      <c r="J76" s="208"/>
      <c r="K76" s="315"/>
      <c r="L76" s="208"/>
      <c r="M76" s="208"/>
      <c r="N76" s="208"/>
      <c r="O76" s="208"/>
      <c r="P76" s="208"/>
      <c r="Q76" s="208"/>
      <c r="R76" s="208"/>
      <c r="S76" s="208"/>
      <c r="T76" s="208"/>
      <c r="U76" s="208"/>
      <c r="V76" s="199"/>
      <c r="W76" s="199"/>
      <c r="X76" s="199"/>
      <c r="Y76" s="199"/>
      <c r="Z76" s="199"/>
      <c r="AA76" s="199"/>
      <c r="AB76" s="199"/>
      <c r="AC76" s="309"/>
    </row>
    <row r="77" spans="1:29" ht="13.5" customHeight="1">
      <c r="A77" s="270" t="s">
        <v>941</v>
      </c>
      <c r="B77" s="266" t="s">
        <v>829</v>
      </c>
      <c r="C77" s="267">
        <v>2</v>
      </c>
      <c r="D77" s="268" t="e">
        <f>E77/C77</f>
        <v>#VALUE!</v>
      </c>
      <c r="E77" s="268" t="s">
        <v>1293</v>
      </c>
      <c r="F77" s="317" t="s">
        <v>830</v>
      </c>
      <c r="G77" s="318">
        <v>2</v>
      </c>
      <c r="H77" s="318" t="e">
        <f>D77</f>
        <v>#VALUE!</v>
      </c>
      <c r="I77" s="316" t="e">
        <f t="shared" si="48"/>
        <v>#VALUE!</v>
      </c>
      <c r="J77" s="208"/>
      <c r="K77" s="315"/>
      <c r="L77" s="208"/>
      <c r="M77" s="208"/>
      <c r="N77" s="208"/>
      <c r="O77" s="208"/>
      <c r="P77" s="208"/>
      <c r="Q77" s="208"/>
      <c r="R77" s="208"/>
      <c r="S77" s="208"/>
      <c r="T77" s="208"/>
      <c r="U77" s="208"/>
      <c r="V77" s="199"/>
      <c r="W77" s="199"/>
      <c r="X77" s="199"/>
      <c r="Y77" s="199"/>
      <c r="Z77" s="199"/>
      <c r="AA77" s="199"/>
      <c r="AB77" s="199"/>
      <c r="AC77" s="309"/>
    </row>
    <row r="78" spans="1:29" ht="13.5" customHeight="1">
      <c r="A78" s="270" t="s">
        <v>942</v>
      </c>
      <c r="B78" s="266" t="s">
        <v>832</v>
      </c>
      <c r="C78" s="267"/>
      <c r="D78" s="268"/>
      <c r="E78" s="268" t="s">
        <v>1293</v>
      </c>
      <c r="F78" s="317" t="s">
        <v>833</v>
      </c>
      <c r="G78" s="318">
        <f>1*5</f>
        <v>5</v>
      </c>
      <c r="H78" s="318">
        <v>1000</v>
      </c>
      <c r="I78" s="316" t="str">
        <f>E78</f>
        <v>#ERROR!</v>
      </c>
      <c r="J78" s="208"/>
      <c r="K78" s="315"/>
      <c r="L78" s="208"/>
      <c r="M78" s="208"/>
      <c r="N78" s="208"/>
      <c r="O78" s="208"/>
      <c r="P78" s="208"/>
      <c r="Q78" s="208"/>
      <c r="R78" s="208"/>
      <c r="S78" s="208"/>
      <c r="T78" s="208"/>
      <c r="U78" s="208"/>
      <c r="V78" s="199"/>
      <c r="W78" s="199"/>
      <c r="X78" s="199"/>
      <c r="Y78" s="199"/>
      <c r="Z78" s="199"/>
      <c r="AA78" s="199"/>
      <c r="AB78" s="199"/>
      <c r="AC78" s="309"/>
    </row>
    <row r="79" spans="1:29" ht="13.5" customHeight="1">
      <c r="A79" s="270" t="s">
        <v>943</v>
      </c>
      <c r="B79" s="266" t="s">
        <v>835</v>
      </c>
      <c r="C79" s="267" t="e">
        <f>E79/D79</f>
        <v>#VALUE!</v>
      </c>
      <c r="D79" s="268" t="e">
        <f>E79/15</f>
        <v>#VALUE!</v>
      </c>
      <c r="E79" s="268" t="s">
        <v>1293</v>
      </c>
      <c r="F79" s="317" t="s">
        <v>835</v>
      </c>
      <c r="G79" s="318" t="e">
        <f t="shared" ref="G79:H79" si="49">C79</f>
        <v>#VALUE!</v>
      </c>
      <c r="H79" s="318" t="e">
        <f t="shared" si="49"/>
        <v>#VALUE!</v>
      </c>
      <c r="I79" s="316" t="e">
        <f t="shared" ref="I79:I80" si="50">G79*H79</f>
        <v>#VALUE!</v>
      </c>
      <c r="J79" s="208"/>
      <c r="K79" s="315"/>
      <c r="L79" s="208"/>
      <c r="M79" s="208"/>
      <c r="N79" s="208"/>
      <c r="O79" s="208"/>
      <c r="P79" s="208"/>
      <c r="Q79" s="208"/>
      <c r="R79" s="208"/>
      <c r="S79" s="208"/>
      <c r="T79" s="208"/>
      <c r="U79" s="208"/>
      <c r="V79" s="199"/>
      <c r="W79" s="199"/>
      <c r="X79" s="199"/>
      <c r="Y79" s="199"/>
      <c r="Z79" s="199"/>
      <c r="AA79" s="199"/>
      <c r="AB79" s="199"/>
      <c r="AC79" s="309"/>
    </row>
    <row r="80" spans="1:29" ht="13.5" customHeight="1">
      <c r="A80" s="270" t="s">
        <v>944</v>
      </c>
      <c r="B80" s="266" t="s">
        <v>837</v>
      </c>
      <c r="C80" s="267">
        <v>25</v>
      </c>
      <c r="D80" s="268">
        <v>80</v>
      </c>
      <c r="E80" s="268" t="s">
        <v>1293</v>
      </c>
      <c r="F80" s="317" t="s">
        <v>837</v>
      </c>
      <c r="G80" s="318">
        <f t="shared" ref="G80:H80" si="51">C80</f>
        <v>25</v>
      </c>
      <c r="H80" s="318">
        <f t="shared" si="51"/>
        <v>80</v>
      </c>
      <c r="I80" s="316">
        <f t="shared" si="50"/>
        <v>2000</v>
      </c>
      <c r="J80" s="208"/>
      <c r="K80" s="315"/>
      <c r="L80" s="208"/>
      <c r="M80" s="208"/>
      <c r="N80" s="208"/>
      <c r="O80" s="208"/>
      <c r="P80" s="208"/>
      <c r="Q80" s="208"/>
      <c r="R80" s="208"/>
      <c r="S80" s="208"/>
      <c r="T80" s="208"/>
      <c r="U80" s="208"/>
      <c r="V80" s="199"/>
      <c r="W80" s="199"/>
      <c r="X80" s="199"/>
      <c r="Y80" s="199"/>
      <c r="Z80" s="199"/>
      <c r="AA80" s="199"/>
      <c r="AB80" s="199"/>
      <c r="AC80" s="309"/>
    </row>
    <row r="81" spans="1:29" ht="13.5" customHeight="1">
      <c r="A81" s="270" t="s">
        <v>945</v>
      </c>
      <c r="B81" s="266"/>
      <c r="C81" s="267"/>
      <c r="D81" s="268" t="s">
        <v>1293</v>
      </c>
      <c r="E81" s="268" t="str">
        <f>D81</f>
        <v>#ERROR!</v>
      </c>
      <c r="F81" s="317"/>
      <c r="G81" s="318"/>
      <c r="H81" s="318" t="str">
        <f>E81</f>
        <v>#ERROR!</v>
      </c>
      <c r="I81" s="316" t="str">
        <f>H81</f>
        <v>#ERROR!</v>
      </c>
      <c r="J81" s="208"/>
      <c r="K81" s="315"/>
      <c r="L81" s="208"/>
      <c r="M81" s="208"/>
      <c r="N81" s="208"/>
      <c r="O81" s="208"/>
      <c r="P81" s="208"/>
      <c r="Q81" s="208"/>
      <c r="R81" s="208"/>
      <c r="S81" s="208"/>
      <c r="T81" s="208"/>
      <c r="U81" s="208"/>
      <c r="V81" s="199"/>
      <c r="W81" s="199"/>
      <c r="X81" s="199"/>
      <c r="Y81" s="199"/>
      <c r="Z81" s="199"/>
      <c r="AA81" s="199"/>
      <c r="AB81" s="199"/>
      <c r="AC81" s="309"/>
    </row>
    <row r="82" spans="1:29" ht="21" customHeight="1">
      <c r="A82" s="270" t="s">
        <v>946</v>
      </c>
      <c r="B82" s="266"/>
      <c r="C82" s="267"/>
      <c r="D82" s="268"/>
      <c r="E82" s="268">
        <f>6000</f>
        <v>6000</v>
      </c>
      <c r="F82" s="317"/>
      <c r="G82" s="318">
        <v>1</v>
      </c>
      <c r="H82" s="318"/>
      <c r="I82" s="316">
        <f>E82/3</f>
        <v>2000</v>
      </c>
      <c r="J82" s="208"/>
      <c r="K82" s="315"/>
      <c r="L82" s="208"/>
      <c r="M82" s="208"/>
      <c r="N82" s="208"/>
      <c r="O82" s="208"/>
      <c r="P82" s="208"/>
      <c r="Q82" s="208"/>
      <c r="R82" s="208"/>
      <c r="S82" s="208"/>
      <c r="T82" s="208"/>
      <c r="U82" s="208"/>
      <c r="V82" s="199"/>
      <c r="W82" s="199"/>
      <c r="X82" s="199"/>
      <c r="Y82" s="199"/>
      <c r="Z82" s="199"/>
      <c r="AA82" s="199"/>
      <c r="AB82" s="199"/>
      <c r="AC82" s="309"/>
    </row>
    <row r="83" spans="1:29" ht="24" customHeight="1">
      <c r="A83" s="270" t="s">
        <v>947</v>
      </c>
      <c r="B83" s="266" t="s">
        <v>841</v>
      </c>
      <c r="C83" s="267">
        <v>10</v>
      </c>
      <c r="D83" s="268" t="e">
        <f>E83/C83</f>
        <v>#VALUE!</v>
      </c>
      <c r="E83" s="268" t="s">
        <v>1293</v>
      </c>
      <c r="F83" s="317" t="s">
        <v>841</v>
      </c>
      <c r="G83" s="318">
        <v>5</v>
      </c>
      <c r="H83" s="318" t="e">
        <f>D83</f>
        <v>#VALUE!</v>
      </c>
      <c r="I83" s="316" t="e">
        <f>H83*G83</f>
        <v>#VALUE!</v>
      </c>
      <c r="J83" s="208"/>
      <c r="K83" s="315"/>
      <c r="L83" s="208"/>
      <c r="M83" s="208"/>
      <c r="N83" s="208"/>
      <c r="O83" s="208"/>
      <c r="P83" s="208"/>
      <c r="Q83" s="208"/>
      <c r="R83" s="208"/>
      <c r="S83" s="208"/>
      <c r="T83" s="208"/>
      <c r="U83" s="208"/>
      <c r="V83" s="199"/>
      <c r="W83" s="199"/>
      <c r="X83" s="199"/>
      <c r="Y83" s="199"/>
      <c r="Z83" s="199"/>
      <c r="AA83" s="199"/>
      <c r="AB83" s="199"/>
      <c r="AC83" s="309"/>
    </row>
    <row r="84" spans="1:29" ht="24" customHeight="1">
      <c r="A84" s="270" t="s">
        <v>948</v>
      </c>
      <c r="B84" s="266"/>
      <c r="C84" s="267"/>
      <c r="D84" s="268"/>
      <c r="E84" s="268">
        <f>40000</f>
        <v>40000</v>
      </c>
      <c r="F84" s="317"/>
      <c r="G84" s="318"/>
      <c r="H84" s="318"/>
      <c r="I84" s="316">
        <f>E84/3</f>
        <v>13333.333333333334</v>
      </c>
      <c r="J84" s="208"/>
      <c r="K84" s="315"/>
      <c r="L84" s="208"/>
      <c r="M84" s="208"/>
      <c r="N84" s="208"/>
      <c r="O84" s="208"/>
      <c r="P84" s="208"/>
      <c r="Q84" s="208"/>
      <c r="R84" s="208"/>
      <c r="S84" s="208"/>
      <c r="T84" s="208"/>
      <c r="U84" s="208"/>
      <c r="V84" s="199"/>
      <c r="W84" s="199"/>
      <c r="X84" s="199"/>
      <c r="Y84" s="199"/>
      <c r="Z84" s="199"/>
      <c r="AA84" s="199"/>
      <c r="AB84" s="199"/>
      <c r="AC84" s="309"/>
    </row>
    <row r="85" spans="1:29" ht="15" customHeight="1">
      <c r="A85" s="270" t="s">
        <v>949</v>
      </c>
      <c r="B85" s="266">
        <v>0</v>
      </c>
      <c r="C85" s="267">
        <v>0</v>
      </c>
      <c r="D85" s="268">
        <v>0</v>
      </c>
      <c r="E85" s="268">
        <f>B85*C85*D85</f>
        <v>0</v>
      </c>
      <c r="F85" s="317">
        <v>0</v>
      </c>
      <c r="G85" s="318">
        <v>0</v>
      </c>
      <c r="H85" s="318">
        <v>0</v>
      </c>
      <c r="I85" s="316">
        <f>F85*G85*H85</f>
        <v>0</v>
      </c>
      <c r="J85" s="208"/>
      <c r="K85" s="315"/>
      <c r="L85" s="208"/>
      <c r="M85" s="208"/>
      <c r="N85" s="208"/>
      <c r="O85" s="208"/>
      <c r="P85" s="208"/>
      <c r="Q85" s="208"/>
      <c r="R85" s="208"/>
      <c r="S85" s="208"/>
      <c r="T85" s="208"/>
      <c r="U85" s="208"/>
      <c r="V85" s="199"/>
      <c r="W85" s="199"/>
      <c r="X85" s="199"/>
      <c r="Y85" s="199"/>
      <c r="Z85" s="199"/>
      <c r="AA85" s="199"/>
      <c r="AB85" s="199"/>
      <c r="AC85" s="309"/>
    </row>
    <row r="86" spans="1:29" ht="15" customHeight="1">
      <c r="A86" s="336" t="s">
        <v>844</v>
      </c>
      <c r="B86" s="330"/>
      <c r="C86" s="331"/>
      <c r="D86" s="337"/>
      <c r="E86" s="332">
        <f>SUM(E71:E85)</f>
        <v>111000</v>
      </c>
      <c r="F86" s="338"/>
      <c r="G86" s="339"/>
      <c r="H86" s="339"/>
      <c r="I86" s="333" t="e">
        <f>SUM(I71:I85)</f>
        <v>#VALUE!</v>
      </c>
      <c r="J86" s="208"/>
      <c r="K86" s="315"/>
      <c r="L86" s="208"/>
      <c r="M86" s="208"/>
      <c r="N86" s="208"/>
      <c r="O86" s="208"/>
      <c r="P86" s="208"/>
      <c r="Q86" s="208"/>
      <c r="R86" s="208"/>
      <c r="S86" s="208"/>
      <c r="T86" s="208"/>
      <c r="U86" s="208"/>
      <c r="V86" s="199"/>
      <c r="W86" s="199"/>
      <c r="X86" s="199"/>
      <c r="Y86" s="199"/>
      <c r="Z86" s="199"/>
      <c r="AA86" s="199"/>
      <c r="AB86" s="199"/>
      <c r="AC86" s="309"/>
    </row>
    <row r="87" spans="1:29" ht="15" customHeight="1">
      <c r="A87" s="277" t="s">
        <v>845</v>
      </c>
      <c r="B87" s="266"/>
      <c r="C87" s="267"/>
      <c r="D87" s="268"/>
      <c r="E87" s="268"/>
      <c r="F87" s="317"/>
      <c r="G87" s="318"/>
      <c r="H87" s="318"/>
      <c r="I87" s="316"/>
      <c r="J87" s="208"/>
      <c r="K87" s="315"/>
      <c r="L87" s="208"/>
      <c r="M87" s="208"/>
      <c r="N87" s="208"/>
      <c r="O87" s="208"/>
      <c r="P87" s="208"/>
      <c r="Q87" s="208"/>
      <c r="R87" s="208"/>
      <c r="S87" s="208"/>
      <c r="T87" s="208"/>
      <c r="U87" s="208"/>
      <c r="V87" s="199"/>
      <c r="W87" s="199"/>
      <c r="X87" s="199"/>
      <c r="Y87" s="199"/>
      <c r="Z87" s="199"/>
      <c r="AA87" s="199"/>
      <c r="AB87" s="199"/>
      <c r="AC87" s="309"/>
    </row>
    <row r="88" spans="1:29" ht="15" customHeight="1">
      <c r="A88" s="270" t="s">
        <v>846</v>
      </c>
      <c r="B88" s="266"/>
      <c r="C88" s="267"/>
      <c r="D88" s="268"/>
      <c r="E88" s="268"/>
      <c r="F88" s="317" t="s">
        <v>847</v>
      </c>
      <c r="G88" s="318"/>
      <c r="H88" s="318"/>
      <c r="I88" s="316"/>
      <c r="J88" s="208"/>
      <c r="K88" s="315"/>
      <c r="L88" s="208"/>
      <c r="M88" s="208"/>
      <c r="N88" s="208"/>
      <c r="O88" s="208"/>
      <c r="P88" s="208"/>
      <c r="Q88" s="208"/>
      <c r="R88" s="208"/>
      <c r="S88" s="208"/>
      <c r="T88" s="208"/>
      <c r="U88" s="208"/>
      <c r="V88" s="199"/>
      <c r="W88" s="199"/>
      <c r="X88" s="199"/>
      <c r="Y88" s="199"/>
      <c r="Z88" s="199"/>
      <c r="AA88" s="199"/>
      <c r="AB88" s="199"/>
      <c r="AC88" s="309"/>
    </row>
    <row r="89" spans="1:29" ht="26.25" customHeight="1">
      <c r="A89" s="270" t="s">
        <v>162</v>
      </c>
      <c r="B89" s="266" t="s">
        <v>847</v>
      </c>
      <c r="C89" s="267">
        <v>4</v>
      </c>
      <c r="D89" s="268">
        <v>31000</v>
      </c>
      <c r="E89" s="268">
        <f>D89*C89</f>
        <v>124000</v>
      </c>
      <c r="F89" s="317" t="s">
        <v>847</v>
      </c>
      <c r="G89" s="318">
        <v>1</v>
      </c>
      <c r="H89" s="318">
        <f>E89/3</f>
        <v>41333.333333333336</v>
      </c>
      <c r="I89" s="316">
        <f>H89</f>
        <v>41333.333333333336</v>
      </c>
      <c r="J89" s="208"/>
      <c r="K89" s="315"/>
      <c r="L89" s="208"/>
      <c r="M89" s="208"/>
      <c r="N89" s="208"/>
      <c r="O89" s="208"/>
      <c r="P89" s="208"/>
      <c r="Q89" s="208"/>
      <c r="R89" s="208"/>
      <c r="S89" s="208"/>
      <c r="T89" s="208"/>
      <c r="U89" s="208"/>
      <c r="V89" s="199"/>
      <c r="W89" s="199"/>
      <c r="X89" s="199"/>
      <c r="Y89" s="199"/>
      <c r="Z89" s="199"/>
      <c r="AA89" s="199"/>
      <c r="AB89" s="199"/>
      <c r="AC89" s="309"/>
    </row>
    <row r="90" spans="1:29" ht="15" customHeight="1">
      <c r="A90" s="270" t="s">
        <v>848</v>
      </c>
      <c r="B90" s="266" t="s">
        <v>847</v>
      </c>
      <c r="C90" s="267">
        <v>4</v>
      </c>
      <c r="D90" s="268">
        <f>8000</f>
        <v>8000</v>
      </c>
      <c r="E90" s="268">
        <f t="shared" ref="E90:E91" si="52">C90*D90</f>
        <v>32000</v>
      </c>
      <c r="F90" s="317" t="s">
        <v>847</v>
      </c>
      <c r="G90" s="318">
        <v>1</v>
      </c>
      <c r="H90" s="318">
        <f>12000</f>
        <v>12000</v>
      </c>
      <c r="I90" s="316">
        <f t="shared" ref="I90:I91" si="53">G90*H90</f>
        <v>12000</v>
      </c>
      <c r="J90" s="208"/>
      <c r="K90" s="315"/>
      <c r="L90" s="208"/>
      <c r="M90" s="208"/>
      <c r="N90" s="208"/>
      <c r="O90" s="208"/>
      <c r="P90" s="208"/>
      <c r="Q90" s="208"/>
      <c r="R90" s="208"/>
      <c r="S90" s="208"/>
      <c r="T90" s="208"/>
      <c r="U90" s="208"/>
      <c r="V90" s="199"/>
      <c r="W90" s="199"/>
      <c r="X90" s="199"/>
      <c r="Y90" s="199"/>
      <c r="Z90" s="199"/>
      <c r="AA90" s="199"/>
      <c r="AB90" s="199"/>
      <c r="AC90" s="309"/>
    </row>
    <row r="91" spans="1:29" ht="15" customHeight="1">
      <c r="A91" s="270" t="s">
        <v>849</v>
      </c>
      <c r="B91" s="266" t="s">
        <v>847</v>
      </c>
      <c r="C91" s="267">
        <v>0</v>
      </c>
      <c r="D91" s="268">
        <v>0</v>
      </c>
      <c r="E91" s="268">
        <f t="shared" si="52"/>
        <v>0</v>
      </c>
      <c r="F91" s="317" t="s">
        <v>847</v>
      </c>
      <c r="G91" s="318">
        <v>1</v>
      </c>
      <c r="H91" s="318">
        <v>0</v>
      </c>
      <c r="I91" s="316">
        <f t="shared" si="53"/>
        <v>0</v>
      </c>
      <c r="J91" s="208"/>
      <c r="K91" s="315"/>
      <c r="L91" s="208"/>
      <c r="M91" s="208"/>
      <c r="N91" s="208"/>
      <c r="O91" s="208"/>
      <c r="P91" s="208"/>
      <c r="Q91" s="208"/>
      <c r="R91" s="208"/>
      <c r="S91" s="208"/>
      <c r="T91" s="208"/>
      <c r="U91" s="208"/>
      <c r="V91" s="199"/>
      <c r="W91" s="199"/>
      <c r="X91" s="199"/>
      <c r="Y91" s="199"/>
      <c r="Z91" s="199"/>
      <c r="AA91" s="199"/>
      <c r="AB91" s="199"/>
      <c r="AC91" s="309"/>
    </row>
    <row r="92" spans="1:29" ht="15" customHeight="1">
      <c r="A92" s="277" t="s">
        <v>850</v>
      </c>
      <c r="B92" s="266"/>
      <c r="C92" s="267"/>
      <c r="D92" s="268"/>
      <c r="E92" s="268"/>
      <c r="F92" s="317"/>
      <c r="G92" s="318"/>
      <c r="H92" s="318"/>
      <c r="I92" s="316"/>
      <c r="J92" s="208"/>
      <c r="K92" s="315"/>
      <c r="L92" s="208"/>
      <c r="M92" s="208"/>
      <c r="N92" s="208"/>
      <c r="O92" s="208"/>
      <c r="P92" s="208"/>
      <c r="Q92" s="208"/>
      <c r="R92" s="208"/>
      <c r="S92" s="208"/>
      <c r="T92" s="208"/>
      <c r="U92" s="208"/>
      <c r="V92" s="199"/>
      <c r="W92" s="199"/>
      <c r="X92" s="199"/>
      <c r="Y92" s="199"/>
      <c r="Z92" s="199"/>
      <c r="AA92" s="199"/>
      <c r="AB92" s="199"/>
      <c r="AC92" s="309"/>
    </row>
    <row r="93" spans="1:29" ht="15" customHeight="1">
      <c r="A93" s="270" t="s">
        <v>280</v>
      </c>
      <c r="B93" s="266" t="s">
        <v>847</v>
      </c>
      <c r="C93" s="267">
        <v>4</v>
      </c>
      <c r="D93" s="268">
        <v>8000</v>
      </c>
      <c r="E93" s="268">
        <f t="shared" ref="E93:E95" si="54">C93*D93</f>
        <v>32000</v>
      </c>
      <c r="F93" s="317" t="s">
        <v>847</v>
      </c>
      <c r="G93" s="318">
        <v>1</v>
      </c>
      <c r="H93" s="318">
        <v>14000</v>
      </c>
      <c r="I93" s="316">
        <f t="shared" ref="I93:I95" si="55">G93*H93</f>
        <v>14000</v>
      </c>
      <c r="J93" s="208"/>
      <c r="K93" s="315"/>
      <c r="L93" s="208"/>
      <c r="M93" s="208"/>
      <c r="N93" s="208"/>
      <c r="O93" s="208"/>
      <c r="P93" s="208"/>
      <c r="Q93" s="208"/>
      <c r="R93" s="208"/>
      <c r="S93" s="208"/>
      <c r="T93" s="208"/>
      <c r="U93" s="208"/>
      <c r="V93" s="199"/>
      <c r="W93" s="199"/>
      <c r="X93" s="199"/>
      <c r="Y93" s="199"/>
      <c r="Z93" s="199"/>
      <c r="AA93" s="199"/>
      <c r="AB93" s="199"/>
      <c r="AC93" s="309"/>
    </row>
    <row r="94" spans="1:29" ht="15" customHeight="1">
      <c r="A94" s="281" t="s">
        <v>158</v>
      </c>
      <c r="B94" s="266" t="s">
        <v>847</v>
      </c>
      <c r="C94" s="267">
        <v>4</v>
      </c>
      <c r="D94" s="268">
        <f>10000</f>
        <v>10000</v>
      </c>
      <c r="E94" s="268">
        <f t="shared" si="54"/>
        <v>40000</v>
      </c>
      <c r="F94" s="317" t="s">
        <v>847</v>
      </c>
      <c r="G94" s="318">
        <v>1</v>
      </c>
      <c r="H94" s="318">
        <f>10000</f>
        <v>10000</v>
      </c>
      <c r="I94" s="316">
        <f t="shared" si="55"/>
        <v>10000</v>
      </c>
      <c r="J94" s="208"/>
      <c r="K94" s="315"/>
      <c r="L94" s="208"/>
      <c r="M94" s="208"/>
      <c r="N94" s="208"/>
      <c r="O94" s="208"/>
      <c r="P94" s="208"/>
      <c r="Q94" s="208"/>
      <c r="R94" s="208"/>
      <c r="S94" s="208"/>
      <c r="T94" s="208"/>
      <c r="U94" s="208"/>
      <c r="V94" s="199"/>
      <c r="W94" s="199"/>
      <c r="X94" s="199"/>
      <c r="Y94" s="199"/>
      <c r="Z94" s="199"/>
      <c r="AA94" s="199"/>
      <c r="AB94" s="199"/>
      <c r="AC94" s="309"/>
    </row>
    <row r="95" spans="1:29" ht="15" customHeight="1">
      <c r="A95" s="270" t="s">
        <v>140</v>
      </c>
      <c r="B95" s="266" t="s">
        <v>847</v>
      </c>
      <c r="C95" s="267">
        <v>4</v>
      </c>
      <c r="D95" s="268">
        <v>30265</v>
      </c>
      <c r="E95" s="268">
        <f t="shared" si="54"/>
        <v>121060</v>
      </c>
      <c r="F95" s="317" t="s">
        <v>847</v>
      </c>
      <c r="G95" s="318">
        <v>1</v>
      </c>
      <c r="H95" s="318">
        <f>D95</f>
        <v>30265</v>
      </c>
      <c r="I95" s="316">
        <f t="shared" si="55"/>
        <v>30265</v>
      </c>
      <c r="J95" s="208"/>
      <c r="K95" s="315"/>
      <c r="L95" s="208"/>
      <c r="M95" s="208"/>
      <c r="N95" s="208"/>
      <c r="O95" s="208"/>
      <c r="P95" s="208"/>
      <c r="Q95" s="208"/>
      <c r="R95" s="208"/>
      <c r="S95" s="208"/>
      <c r="T95" s="208"/>
      <c r="U95" s="208"/>
      <c r="V95" s="199"/>
      <c r="W95" s="199"/>
      <c r="X95" s="199"/>
      <c r="Y95" s="199"/>
      <c r="Z95" s="199"/>
      <c r="AA95" s="199"/>
      <c r="AB95" s="199"/>
      <c r="AC95" s="309"/>
    </row>
    <row r="96" spans="1:29" ht="15" customHeight="1">
      <c r="A96" s="281" t="s">
        <v>851</v>
      </c>
      <c r="B96" s="266"/>
      <c r="C96" s="267"/>
      <c r="D96" s="268"/>
      <c r="E96" s="268"/>
      <c r="F96" s="317"/>
      <c r="G96" s="318"/>
      <c r="H96" s="318"/>
      <c r="I96" s="316"/>
      <c r="J96" s="208"/>
      <c r="K96" s="315"/>
      <c r="L96" s="208"/>
      <c r="M96" s="208"/>
      <c r="N96" s="208"/>
      <c r="O96" s="208"/>
      <c r="P96" s="208"/>
      <c r="Q96" s="208"/>
      <c r="R96" s="208"/>
      <c r="S96" s="208"/>
      <c r="T96" s="208"/>
      <c r="U96" s="208"/>
      <c r="V96" s="199"/>
      <c r="W96" s="199"/>
      <c r="X96" s="199"/>
      <c r="Y96" s="199"/>
      <c r="Z96" s="199"/>
      <c r="AA96" s="199"/>
      <c r="AB96" s="199"/>
      <c r="AC96" s="309"/>
    </row>
    <row r="97" spans="1:29" ht="15" customHeight="1">
      <c r="A97" s="336" t="s">
        <v>852</v>
      </c>
      <c r="B97" s="340"/>
      <c r="C97" s="341"/>
      <c r="D97" s="342"/>
      <c r="E97" s="332">
        <f>SUM(E87:E96)</f>
        <v>349060</v>
      </c>
      <c r="F97" s="343"/>
      <c r="G97" s="344"/>
      <c r="H97" s="344"/>
      <c r="I97" s="333">
        <f>SUM(I87:I96)</f>
        <v>107598.33333333334</v>
      </c>
      <c r="J97" s="208"/>
      <c r="K97" s="315"/>
      <c r="L97" s="208"/>
      <c r="M97" s="208"/>
      <c r="N97" s="208"/>
      <c r="O97" s="208"/>
      <c r="P97" s="208"/>
      <c r="Q97" s="208"/>
      <c r="R97" s="208"/>
      <c r="S97" s="208"/>
      <c r="T97" s="208"/>
      <c r="U97" s="208"/>
      <c r="V97" s="199"/>
      <c r="W97" s="199"/>
      <c r="X97" s="199"/>
      <c r="Y97" s="199"/>
      <c r="Z97" s="199"/>
      <c r="AA97" s="199"/>
      <c r="AB97" s="199"/>
      <c r="AC97" s="309"/>
    </row>
    <row r="98" spans="1:29" ht="15" customHeight="1">
      <c r="A98" s="277" t="s">
        <v>950</v>
      </c>
      <c r="B98" s="275"/>
      <c r="C98" s="278"/>
      <c r="D98" s="269"/>
      <c r="E98" s="269"/>
      <c r="F98" s="334"/>
      <c r="G98" s="316"/>
      <c r="H98" s="316"/>
      <c r="I98" s="316"/>
      <c r="J98" s="208"/>
      <c r="K98" s="315"/>
      <c r="L98" s="208"/>
      <c r="M98" s="208"/>
      <c r="N98" s="208"/>
      <c r="O98" s="208"/>
      <c r="P98" s="208"/>
      <c r="Q98" s="208"/>
      <c r="R98" s="208"/>
      <c r="S98" s="208"/>
      <c r="T98" s="208"/>
      <c r="U98" s="208"/>
      <c r="V98" s="199"/>
      <c r="W98" s="199"/>
      <c r="X98" s="199"/>
      <c r="Y98" s="199"/>
      <c r="Z98" s="199"/>
      <c r="AA98" s="199"/>
      <c r="AB98" s="199"/>
      <c r="AC98" s="309"/>
    </row>
    <row r="99" spans="1:29" ht="15" customHeight="1">
      <c r="A99" s="270" t="s">
        <v>951</v>
      </c>
      <c r="B99" s="266"/>
      <c r="C99" s="267"/>
      <c r="D99" s="268"/>
      <c r="E99" s="268"/>
      <c r="F99" s="317"/>
      <c r="G99" s="318"/>
      <c r="H99" s="318"/>
      <c r="I99" s="316"/>
      <c r="J99" s="208"/>
      <c r="K99" s="315"/>
      <c r="L99" s="208"/>
      <c r="M99" s="208"/>
      <c r="N99" s="208"/>
      <c r="O99" s="208"/>
      <c r="P99" s="208"/>
      <c r="Q99" s="208"/>
      <c r="R99" s="208"/>
      <c r="S99" s="208"/>
      <c r="T99" s="208"/>
      <c r="U99" s="208"/>
      <c r="V99" s="199"/>
      <c r="W99" s="199"/>
      <c r="X99" s="199"/>
      <c r="Y99" s="199"/>
      <c r="Z99" s="199"/>
      <c r="AA99" s="199"/>
      <c r="AB99" s="199"/>
      <c r="AC99" s="309"/>
    </row>
    <row r="100" spans="1:29" ht="15" customHeight="1">
      <c r="A100" s="277" t="s">
        <v>952</v>
      </c>
      <c r="B100" s="275"/>
      <c r="C100" s="278"/>
      <c r="D100" s="269"/>
      <c r="E100" s="269">
        <f>SUM(E101:E102)</f>
        <v>230400</v>
      </c>
      <c r="F100" s="334"/>
      <c r="G100" s="316"/>
      <c r="H100" s="316"/>
      <c r="I100" s="316"/>
      <c r="J100" s="319"/>
      <c r="K100" s="328"/>
      <c r="L100" s="319"/>
      <c r="M100" s="319"/>
      <c r="N100" s="319"/>
      <c r="O100" s="319"/>
      <c r="P100" s="319"/>
      <c r="Q100" s="319"/>
      <c r="R100" s="319"/>
      <c r="S100" s="319"/>
      <c r="T100" s="319"/>
      <c r="U100" s="319"/>
      <c r="V100" s="192"/>
      <c r="W100" s="192"/>
      <c r="X100" s="192"/>
      <c r="Y100" s="192"/>
      <c r="Z100" s="192"/>
      <c r="AA100" s="192"/>
      <c r="AB100" s="192"/>
      <c r="AC100" s="345"/>
    </row>
    <row r="101" spans="1:29" ht="15" customHeight="1">
      <c r="A101" s="270" t="s">
        <v>853</v>
      </c>
      <c r="B101" s="266" t="s">
        <v>854</v>
      </c>
      <c r="C101" s="267">
        <f>3*3*4*4</f>
        <v>144</v>
      </c>
      <c r="D101" s="268">
        <f>1000</f>
        <v>1000</v>
      </c>
      <c r="E101" s="268">
        <f t="shared" ref="E101:E104" si="56">D101*C101</f>
        <v>144000</v>
      </c>
      <c r="F101" s="317" t="s">
        <v>854</v>
      </c>
      <c r="G101" s="318">
        <f t="shared" ref="G101:G102" si="57">C101/4</f>
        <v>36</v>
      </c>
      <c r="H101" s="318">
        <f t="shared" ref="H101:H105" si="58">D101</f>
        <v>1000</v>
      </c>
      <c r="I101" s="316">
        <f t="shared" ref="I101:I105" si="59">H101*G101</f>
        <v>36000</v>
      </c>
      <c r="J101" s="208"/>
      <c r="K101" s="315"/>
      <c r="L101" s="208"/>
      <c r="M101" s="208"/>
      <c r="N101" s="208"/>
      <c r="O101" s="208"/>
      <c r="P101" s="208"/>
      <c r="Q101" s="208"/>
      <c r="R101" s="208"/>
      <c r="S101" s="208"/>
      <c r="T101" s="208"/>
      <c r="U101" s="208"/>
      <c r="V101" s="199"/>
      <c r="W101" s="199"/>
      <c r="X101" s="199"/>
      <c r="Y101" s="199"/>
      <c r="Z101" s="199"/>
      <c r="AA101" s="199"/>
      <c r="AB101" s="199"/>
      <c r="AC101" s="309"/>
    </row>
    <row r="102" spans="1:29" ht="15" customHeight="1">
      <c r="A102" s="270" t="s">
        <v>855</v>
      </c>
      <c r="B102" s="266" t="s">
        <v>854</v>
      </c>
      <c r="C102" s="267">
        <f>1*3*4*6</f>
        <v>72</v>
      </c>
      <c r="D102" s="268">
        <f>1200</f>
        <v>1200</v>
      </c>
      <c r="E102" s="268">
        <f t="shared" si="56"/>
        <v>86400</v>
      </c>
      <c r="F102" s="317" t="s">
        <v>854</v>
      </c>
      <c r="G102" s="318">
        <f t="shared" si="57"/>
        <v>18</v>
      </c>
      <c r="H102" s="318">
        <f t="shared" si="58"/>
        <v>1200</v>
      </c>
      <c r="I102" s="316">
        <f t="shared" si="59"/>
        <v>21600</v>
      </c>
      <c r="J102" s="208"/>
      <c r="K102" s="315"/>
      <c r="L102" s="208"/>
      <c r="M102" s="208"/>
      <c r="N102" s="208"/>
      <c r="O102" s="208"/>
      <c r="P102" s="208"/>
      <c r="Q102" s="208"/>
      <c r="R102" s="208"/>
      <c r="S102" s="208"/>
      <c r="T102" s="208"/>
      <c r="U102" s="208"/>
      <c r="V102" s="199"/>
      <c r="W102" s="199"/>
      <c r="X102" s="199"/>
      <c r="Y102" s="199"/>
      <c r="Z102" s="199"/>
      <c r="AA102" s="199"/>
      <c r="AB102" s="199"/>
      <c r="AC102" s="309"/>
    </row>
    <row r="103" spans="1:29" ht="68.25" customHeight="1">
      <c r="A103" s="346" t="s">
        <v>856</v>
      </c>
      <c r="B103" s="347" t="s">
        <v>857</v>
      </c>
      <c r="C103" s="348">
        <f>4*4*2</f>
        <v>32</v>
      </c>
      <c r="D103" s="349">
        <f>3000</f>
        <v>3000</v>
      </c>
      <c r="E103" s="349">
        <f t="shared" si="56"/>
        <v>96000</v>
      </c>
      <c r="F103" s="350" t="s">
        <v>857</v>
      </c>
      <c r="G103" s="351">
        <f>C103/4+16</f>
        <v>24</v>
      </c>
      <c r="H103" s="351">
        <f t="shared" si="58"/>
        <v>3000</v>
      </c>
      <c r="I103" s="352">
        <f t="shared" si="59"/>
        <v>72000</v>
      </c>
      <c r="J103" s="353"/>
      <c r="K103" s="354"/>
      <c r="L103" s="353"/>
      <c r="M103" s="353"/>
      <c r="N103" s="353"/>
      <c r="O103" s="353"/>
      <c r="P103" s="355"/>
      <c r="Q103" s="356"/>
      <c r="R103" s="217"/>
      <c r="S103" s="355"/>
      <c r="T103" s="356"/>
      <c r="U103" s="217"/>
      <c r="V103" s="237"/>
      <c r="W103" s="237"/>
      <c r="X103" s="237"/>
      <c r="Y103" s="237"/>
      <c r="Z103" s="237"/>
      <c r="AA103" s="237"/>
      <c r="AB103" s="237"/>
      <c r="AC103" s="357"/>
    </row>
    <row r="104" spans="1:29" ht="31.5" customHeight="1">
      <c r="A104" s="346" t="s">
        <v>858</v>
      </c>
      <c r="B104" s="347" t="s">
        <v>859</v>
      </c>
      <c r="C104" s="348">
        <f>195</f>
        <v>195</v>
      </c>
      <c r="D104" s="349">
        <f>400</f>
        <v>400</v>
      </c>
      <c r="E104" s="349">
        <f t="shared" si="56"/>
        <v>78000</v>
      </c>
      <c r="F104" s="350" t="s">
        <v>859</v>
      </c>
      <c r="G104" s="351">
        <f t="shared" ref="G104:G105" si="60">C104/2</f>
        <v>97.5</v>
      </c>
      <c r="H104" s="351">
        <f t="shared" si="58"/>
        <v>400</v>
      </c>
      <c r="I104" s="352">
        <f t="shared" si="59"/>
        <v>39000</v>
      </c>
      <c r="J104" s="353"/>
      <c r="K104" s="354"/>
      <c r="L104" s="353"/>
      <c r="M104" s="353"/>
      <c r="N104" s="353"/>
      <c r="O104" s="353"/>
      <c r="P104" s="358"/>
      <c r="Q104" s="358"/>
      <c r="R104" s="217"/>
      <c r="S104" s="358"/>
      <c r="T104" s="358"/>
      <c r="U104" s="217"/>
      <c r="V104" s="237"/>
      <c r="W104" s="237"/>
      <c r="X104" s="237"/>
      <c r="Y104" s="237"/>
      <c r="Z104" s="237"/>
      <c r="AA104" s="237"/>
      <c r="AB104" s="237"/>
      <c r="AC104" s="357"/>
    </row>
    <row r="105" spans="1:29" ht="15" customHeight="1">
      <c r="A105" s="270" t="s">
        <v>860</v>
      </c>
      <c r="B105" s="266" t="s">
        <v>859</v>
      </c>
      <c r="C105" s="267">
        <f>30</f>
        <v>30</v>
      </c>
      <c r="D105" s="268">
        <f>D104</f>
        <v>400</v>
      </c>
      <c r="E105" s="268">
        <f>C105*D105</f>
        <v>12000</v>
      </c>
      <c r="F105" s="317" t="s">
        <v>859</v>
      </c>
      <c r="G105" s="318">
        <f t="shared" si="60"/>
        <v>15</v>
      </c>
      <c r="H105" s="318">
        <f t="shared" si="58"/>
        <v>400</v>
      </c>
      <c r="I105" s="316">
        <f t="shared" si="59"/>
        <v>6000</v>
      </c>
      <c r="J105" s="208"/>
      <c r="K105" s="315"/>
      <c r="L105" s="208"/>
      <c r="M105" s="208"/>
      <c r="N105" s="208"/>
      <c r="O105" s="208"/>
      <c r="P105" s="208"/>
      <c r="Q105" s="208"/>
      <c r="R105" s="208"/>
      <c r="S105" s="208"/>
      <c r="T105" s="208"/>
      <c r="U105" s="208"/>
      <c r="V105" s="199"/>
      <c r="W105" s="199"/>
      <c r="X105" s="199"/>
      <c r="Y105" s="199"/>
      <c r="Z105" s="199"/>
      <c r="AA105" s="199"/>
      <c r="AB105" s="199"/>
      <c r="AC105" s="309"/>
    </row>
    <row r="106" spans="1:29" ht="15" customHeight="1">
      <c r="A106" s="277" t="s">
        <v>861</v>
      </c>
      <c r="B106" s="275"/>
      <c r="C106" s="278"/>
      <c r="D106" s="269"/>
      <c r="E106" s="269">
        <f>E107</f>
        <v>40000</v>
      </c>
      <c r="F106" s="334"/>
      <c r="G106" s="316"/>
      <c r="H106" s="316"/>
      <c r="I106" s="316">
        <f>I107</f>
        <v>10000</v>
      </c>
      <c r="J106" s="319"/>
      <c r="K106" s="328"/>
      <c r="L106" s="319"/>
      <c r="M106" s="319"/>
      <c r="N106" s="319"/>
      <c r="O106" s="319"/>
      <c r="P106" s="319"/>
      <c r="Q106" s="319"/>
      <c r="R106" s="319"/>
      <c r="S106" s="319"/>
      <c r="T106" s="319"/>
      <c r="U106" s="319"/>
      <c r="V106" s="192"/>
      <c r="W106" s="192"/>
      <c r="X106" s="192"/>
      <c r="Y106" s="192"/>
      <c r="Z106" s="192"/>
      <c r="AA106" s="192"/>
      <c r="AB106" s="192"/>
      <c r="AC106" s="345"/>
    </row>
    <row r="107" spans="1:29" ht="15" customHeight="1">
      <c r="A107" s="281" t="s">
        <v>862</v>
      </c>
      <c r="B107" s="287" t="s">
        <v>863</v>
      </c>
      <c r="C107" s="288">
        <v>4</v>
      </c>
      <c r="D107" s="268">
        <v>10000</v>
      </c>
      <c r="E107" s="268">
        <f>C107*D107</f>
        <v>40000</v>
      </c>
      <c r="F107" s="317" t="s">
        <v>863</v>
      </c>
      <c r="G107" s="318">
        <v>1</v>
      </c>
      <c r="H107" s="318">
        <v>10000</v>
      </c>
      <c r="I107" s="316">
        <f>G107*H107</f>
        <v>10000</v>
      </c>
      <c r="J107" s="208"/>
      <c r="K107" s="315"/>
      <c r="L107" s="208"/>
      <c r="M107" s="208"/>
      <c r="N107" s="208"/>
      <c r="O107" s="208"/>
      <c r="P107" s="208"/>
      <c r="Q107" s="208"/>
      <c r="R107" s="208"/>
      <c r="S107" s="208"/>
      <c r="T107" s="208"/>
      <c r="U107" s="208"/>
      <c r="V107" s="199"/>
      <c r="W107" s="199"/>
      <c r="X107" s="199"/>
      <c r="Y107" s="199"/>
      <c r="Z107" s="199"/>
      <c r="AA107" s="199"/>
      <c r="AB107" s="199"/>
      <c r="AC107" s="309"/>
    </row>
    <row r="108" spans="1:29" ht="15" customHeight="1">
      <c r="A108" s="270" t="s">
        <v>864</v>
      </c>
      <c r="B108" s="287"/>
      <c r="C108" s="288"/>
      <c r="D108" s="268"/>
      <c r="E108" s="268"/>
      <c r="F108" s="317"/>
      <c r="G108" s="318"/>
      <c r="H108" s="318"/>
      <c r="I108" s="316"/>
      <c r="J108" s="208"/>
      <c r="K108" s="315"/>
      <c r="L108" s="208"/>
      <c r="M108" s="208"/>
      <c r="N108" s="208"/>
      <c r="O108" s="208"/>
      <c r="P108" s="208"/>
      <c r="Q108" s="208"/>
      <c r="R108" s="208"/>
      <c r="S108" s="208"/>
      <c r="T108" s="208"/>
      <c r="U108" s="208"/>
      <c r="V108" s="199"/>
      <c r="W108" s="199"/>
      <c r="X108" s="199"/>
      <c r="Y108" s="199"/>
      <c r="Z108" s="199"/>
      <c r="AA108" s="199"/>
      <c r="AB108" s="199"/>
      <c r="AC108" s="309"/>
    </row>
    <row r="109" spans="1:29" ht="15" customHeight="1">
      <c r="A109" s="277" t="s">
        <v>865</v>
      </c>
      <c r="B109" s="289"/>
      <c r="C109" s="290"/>
      <c r="D109" s="269"/>
      <c r="E109" s="269" t="e">
        <f>SUM(E110:E111)</f>
        <v>#VALUE!</v>
      </c>
      <c r="F109" s="334"/>
      <c r="G109" s="316"/>
      <c r="H109" s="316"/>
      <c r="I109" s="316"/>
      <c r="J109" s="319"/>
      <c r="K109" s="328"/>
      <c r="L109" s="319"/>
      <c r="M109" s="319"/>
      <c r="N109" s="319"/>
      <c r="O109" s="319"/>
      <c r="P109" s="319"/>
      <c r="Q109" s="319"/>
      <c r="R109" s="319"/>
      <c r="S109" s="319"/>
      <c r="T109" s="319"/>
      <c r="U109" s="319"/>
      <c r="V109" s="192"/>
      <c r="W109" s="192"/>
      <c r="X109" s="192"/>
      <c r="Y109" s="192"/>
      <c r="Z109" s="192"/>
      <c r="AA109" s="192"/>
      <c r="AB109" s="192"/>
      <c r="AC109" s="345"/>
    </row>
    <row r="110" spans="1:29" ht="21" customHeight="1">
      <c r="A110" s="281" t="s">
        <v>866</v>
      </c>
      <c r="B110" s="291" t="s">
        <v>867</v>
      </c>
      <c r="C110" s="288">
        <f>500*4</f>
        <v>2000</v>
      </c>
      <c r="D110" s="268">
        <f>10000/655.957</f>
        <v>15.244901723741037</v>
      </c>
      <c r="E110" s="268">
        <f>C110*D110</f>
        <v>30489.803447482074</v>
      </c>
      <c r="F110" s="317" t="s">
        <v>868</v>
      </c>
      <c r="G110" s="318">
        <f>C110/4+30+50</f>
        <v>580</v>
      </c>
      <c r="H110" s="318">
        <f t="shared" ref="H110:H111" si="61">D110</f>
        <v>15.244901723741037</v>
      </c>
      <c r="I110" s="316">
        <f>G110*H110</f>
        <v>8842.0429997698011</v>
      </c>
      <c r="J110" s="208"/>
      <c r="K110" s="315"/>
      <c r="L110" s="208"/>
      <c r="M110" s="208"/>
      <c r="N110" s="208"/>
      <c r="O110" s="208"/>
      <c r="P110" s="208"/>
      <c r="Q110" s="208"/>
      <c r="R110" s="208"/>
      <c r="S110" s="208"/>
      <c r="T110" s="208"/>
      <c r="U110" s="208"/>
      <c r="V110" s="199"/>
      <c r="W110" s="199"/>
      <c r="X110" s="199"/>
      <c r="Y110" s="199"/>
      <c r="Z110" s="199"/>
      <c r="AA110" s="199"/>
      <c r="AB110" s="199"/>
      <c r="AC110" s="309"/>
    </row>
    <row r="111" spans="1:29" ht="30.75" customHeight="1">
      <c r="A111" s="281" t="s">
        <v>869</v>
      </c>
      <c r="B111" s="291" t="s">
        <v>870</v>
      </c>
      <c r="C111" s="292">
        <f>15*4</f>
        <v>60</v>
      </c>
      <c r="D111" s="280" t="s">
        <v>1294</v>
      </c>
      <c r="E111" s="280" t="e">
        <f>D111*C111</f>
        <v>#VALUE!</v>
      </c>
      <c r="F111" s="359" t="s">
        <v>875</v>
      </c>
      <c r="G111" s="326">
        <f>C111/4</f>
        <v>15</v>
      </c>
      <c r="H111" s="326" t="str">
        <f t="shared" si="61"/>
        <v>#REF!</v>
      </c>
      <c r="I111" s="327" t="e">
        <f>H111*G111</f>
        <v>#VALUE!</v>
      </c>
      <c r="J111" s="360"/>
      <c r="K111" s="361"/>
      <c r="L111" s="360"/>
      <c r="M111" s="360"/>
      <c r="N111" s="360"/>
      <c r="O111" s="360"/>
      <c r="P111" s="360"/>
      <c r="Q111" s="360"/>
      <c r="R111" s="360"/>
      <c r="S111" s="360"/>
      <c r="T111" s="360"/>
      <c r="U111" s="360"/>
      <c r="V111" s="293"/>
      <c r="W111" s="293"/>
      <c r="X111" s="293"/>
      <c r="Y111" s="293"/>
      <c r="Z111" s="293"/>
      <c r="AA111" s="293"/>
      <c r="AB111" s="293"/>
      <c r="AC111" s="309"/>
    </row>
    <row r="112" spans="1:29" ht="17.25" customHeight="1">
      <c r="A112" s="266" t="s">
        <v>871</v>
      </c>
      <c r="B112" s="291"/>
      <c r="C112" s="288"/>
      <c r="D112" s="268"/>
      <c r="E112" s="268"/>
      <c r="F112" s="317"/>
      <c r="G112" s="318"/>
      <c r="H112" s="318"/>
      <c r="I112" s="316"/>
      <c r="J112" s="208"/>
      <c r="K112" s="315"/>
      <c r="L112" s="208"/>
      <c r="M112" s="208"/>
      <c r="N112" s="208"/>
      <c r="O112" s="208"/>
      <c r="P112" s="208"/>
      <c r="Q112" s="208"/>
      <c r="R112" s="208"/>
      <c r="S112" s="208"/>
      <c r="T112" s="208"/>
      <c r="U112" s="208"/>
      <c r="V112" s="199"/>
      <c r="W112" s="199"/>
      <c r="X112" s="199"/>
      <c r="Y112" s="199"/>
      <c r="Z112" s="199"/>
      <c r="AA112" s="199"/>
      <c r="AB112" s="199"/>
      <c r="AC112" s="309"/>
    </row>
    <row r="113" spans="1:29" ht="17.25" customHeight="1">
      <c r="A113" s="270" t="s">
        <v>872</v>
      </c>
      <c r="B113" s="291"/>
      <c r="C113" s="288"/>
      <c r="D113" s="268"/>
      <c r="E113" s="268"/>
      <c r="F113" s="317"/>
      <c r="G113" s="318"/>
      <c r="H113" s="318"/>
      <c r="I113" s="316"/>
      <c r="J113" s="208"/>
      <c r="K113" s="315"/>
      <c r="L113" s="208"/>
      <c r="M113" s="208"/>
      <c r="N113" s="208"/>
      <c r="O113" s="208"/>
      <c r="P113" s="208"/>
      <c r="Q113" s="208"/>
      <c r="R113" s="208"/>
      <c r="S113" s="208"/>
      <c r="T113" s="208"/>
      <c r="U113" s="208"/>
      <c r="V113" s="199"/>
      <c r="W113" s="199"/>
      <c r="X113" s="199"/>
      <c r="Y113" s="199"/>
      <c r="Z113" s="199"/>
      <c r="AA113" s="199"/>
      <c r="AB113" s="199"/>
      <c r="AC113" s="309"/>
    </row>
    <row r="114" spans="1:29" ht="28.5" customHeight="1">
      <c r="A114" s="270" t="s">
        <v>873</v>
      </c>
      <c r="B114" s="291"/>
      <c r="C114" s="288">
        <v>4</v>
      </c>
      <c r="D114" s="268">
        <f>1000</f>
        <v>1000</v>
      </c>
      <c r="E114" s="268">
        <f>C114*D114</f>
        <v>4000</v>
      </c>
      <c r="F114" s="317" t="s">
        <v>847</v>
      </c>
      <c r="G114" s="318">
        <v>1</v>
      </c>
      <c r="H114" s="318">
        <f>D114</f>
        <v>1000</v>
      </c>
      <c r="I114" s="316">
        <f>G114*H114</f>
        <v>1000</v>
      </c>
      <c r="J114" s="208"/>
      <c r="K114" s="315"/>
      <c r="L114" s="208"/>
      <c r="M114" s="208"/>
      <c r="N114" s="208"/>
      <c r="O114" s="208"/>
      <c r="P114" s="208"/>
      <c r="Q114" s="208"/>
      <c r="R114" s="208"/>
      <c r="S114" s="208"/>
      <c r="T114" s="208"/>
      <c r="U114" s="208"/>
      <c r="V114" s="199"/>
      <c r="W114" s="199"/>
      <c r="X114" s="199"/>
      <c r="Y114" s="199"/>
      <c r="Z114" s="199"/>
      <c r="AA114" s="199"/>
      <c r="AB114" s="199"/>
      <c r="AC114" s="309"/>
    </row>
    <row r="115" spans="1:29" ht="17.25" customHeight="1">
      <c r="A115" s="277" t="s">
        <v>953</v>
      </c>
      <c r="B115" s="294"/>
      <c r="C115" s="290"/>
      <c r="D115" s="269"/>
      <c r="E115" s="269">
        <f>E116</f>
        <v>240000</v>
      </c>
      <c r="F115" s="334" t="s">
        <v>847</v>
      </c>
      <c r="G115" s="316"/>
      <c r="H115" s="316"/>
      <c r="I115" s="316">
        <f>I116</f>
        <v>60000</v>
      </c>
      <c r="J115" s="319"/>
      <c r="K115" s="328"/>
      <c r="L115" s="319"/>
      <c r="M115" s="319"/>
      <c r="N115" s="319"/>
      <c r="O115" s="319"/>
      <c r="P115" s="319"/>
      <c r="Q115" s="319"/>
      <c r="R115" s="319"/>
      <c r="S115" s="319"/>
      <c r="T115" s="319"/>
      <c r="U115" s="319"/>
      <c r="V115" s="192"/>
      <c r="W115" s="192"/>
      <c r="X115" s="192"/>
      <c r="Y115" s="192"/>
      <c r="Z115" s="192"/>
      <c r="AA115" s="192"/>
      <c r="AB115" s="192"/>
      <c r="AC115" s="345"/>
    </row>
    <row r="116" spans="1:29" ht="56.25" customHeight="1">
      <c r="A116" s="270" t="s">
        <v>874</v>
      </c>
      <c r="B116" s="291" t="s">
        <v>875</v>
      </c>
      <c r="C116" s="288">
        <f>(2+20+2+2+4+4+2+4)</f>
        <v>40</v>
      </c>
      <c r="D116" s="268">
        <f>6000</f>
        <v>6000</v>
      </c>
      <c r="E116" s="268">
        <f>C116*D116</f>
        <v>240000</v>
      </c>
      <c r="F116" s="317" t="s">
        <v>847</v>
      </c>
      <c r="G116" s="318">
        <f>C116/4</f>
        <v>10</v>
      </c>
      <c r="H116" s="318">
        <f>D116</f>
        <v>6000</v>
      </c>
      <c r="I116" s="316">
        <f>G116*H116</f>
        <v>60000</v>
      </c>
      <c r="J116" s="208"/>
      <c r="K116" s="315"/>
      <c r="L116" s="208"/>
      <c r="M116" s="208"/>
      <c r="N116" s="208"/>
      <c r="O116" s="208"/>
      <c r="P116" s="208"/>
      <c r="Q116" s="208"/>
      <c r="R116" s="208"/>
      <c r="S116" s="208"/>
      <c r="T116" s="208"/>
      <c r="U116" s="208"/>
      <c r="V116" s="199"/>
      <c r="W116" s="199"/>
      <c r="X116" s="199"/>
      <c r="Y116" s="199"/>
      <c r="Z116" s="199"/>
      <c r="AA116" s="199"/>
      <c r="AB116" s="199"/>
      <c r="AC116" s="309"/>
    </row>
    <row r="117" spans="1:29" ht="12.75" customHeight="1">
      <c r="A117" s="281"/>
      <c r="B117" s="291"/>
      <c r="C117" s="288"/>
      <c r="D117" s="268"/>
      <c r="E117" s="268"/>
      <c r="F117" s="317"/>
      <c r="G117" s="318"/>
      <c r="H117" s="318"/>
      <c r="I117" s="316"/>
      <c r="J117" s="208"/>
      <c r="K117" s="315"/>
      <c r="L117" s="208"/>
      <c r="M117" s="208"/>
      <c r="N117" s="208"/>
      <c r="O117" s="208"/>
      <c r="P117" s="208"/>
      <c r="Q117" s="208"/>
      <c r="R117" s="208"/>
      <c r="S117" s="208"/>
      <c r="T117" s="208"/>
      <c r="U117" s="208"/>
      <c r="V117" s="199"/>
      <c r="W117" s="199"/>
      <c r="X117" s="199"/>
      <c r="Y117" s="199"/>
      <c r="Z117" s="199"/>
      <c r="AA117" s="199"/>
      <c r="AB117" s="199"/>
      <c r="AC117" s="309"/>
    </row>
    <row r="118" spans="1:29" ht="18.75" customHeight="1">
      <c r="A118" s="277" t="s">
        <v>954</v>
      </c>
      <c r="B118" s="294"/>
      <c r="C118" s="290"/>
      <c r="D118" s="269"/>
      <c r="E118" s="269">
        <f>E119+E120</f>
        <v>32000</v>
      </c>
      <c r="F118" s="334"/>
      <c r="G118" s="316"/>
      <c r="H118" s="316"/>
      <c r="I118" s="316">
        <f>I119+I120</f>
        <v>6000</v>
      </c>
      <c r="J118" s="319"/>
      <c r="K118" s="328"/>
      <c r="L118" s="319"/>
      <c r="M118" s="319"/>
      <c r="N118" s="319"/>
      <c r="O118" s="319"/>
      <c r="P118" s="319"/>
      <c r="Q118" s="319"/>
      <c r="R118" s="319"/>
      <c r="S118" s="319"/>
      <c r="T118" s="319"/>
      <c r="U118" s="319"/>
      <c r="V118" s="192"/>
      <c r="W118" s="192"/>
      <c r="X118" s="192"/>
      <c r="Y118" s="192"/>
      <c r="Z118" s="192"/>
      <c r="AA118" s="192"/>
      <c r="AB118" s="192"/>
      <c r="AC118" s="345"/>
    </row>
    <row r="119" spans="1:29" ht="30.75" customHeight="1">
      <c r="A119" s="270" t="s">
        <v>876</v>
      </c>
      <c r="B119" s="291" t="s">
        <v>847</v>
      </c>
      <c r="C119" s="288">
        <v>4</v>
      </c>
      <c r="D119" s="268">
        <v>3000</v>
      </c>
      <c r="E119" s="268">
        <f t="shared" ref="E119:E120" si="62">C119*D119</f>
        <v>12000</v>
      </c>
      <c r="F119" s="317" t="s">
        <v>847</v>
      </c>
      <c r="G119" s="318">
        <v>1</v>
      </c>
      <c r="H119" s="318">
        <v>2000</v>
      </c>
      <c r="I119" s="316">
        <f t="shared" ref="I119:I120" si="63">G119*H119</f>
        <v>2000</v>
      </c>
      <c r="J119" s="208"/>
      <c r="K119" s="315"/>
      <c r="L119" s="208"/>
      <c r="M119" s="208"/>
      <c r="N119" s="208"/>
      <c r="O119" s="208"/>
      <c r="P119" s="208"/>
      <c r="Q119" s="208"/>
      <c r="R119" s="208"/>
      <c r="S119" s="208"/>
      <c r="T119" s="208"/>
      <c r="U119" s="208"/>
      <c r="V119" s="199"/>
      <c r="W119" s="199"/>
      <c r="X119" s="199"/>
      <c r="Y119" s="199"/>
      <c r="Z119" s="199"/>
      <c r="AA119" s="199"/>
      <c r="AB119" s="199"/>
      <c r="AC119" s="309"/>
    </row>
    <row r="120" spans="1:29" ht="30.75" customHeight="1">
      <c r="A120" s="270" t="s">
        <v>877</v>
      </c>
      <c r="B120" s="291" t="s">
        <v>847</v>
      </c>
      <c r="C120" s="288">
        <v>4</v>
      </c>
      <c r="D120" s="268">
        <v>5000</v>
      </c>
      <c r="E120" s="268">
        <f t="shared" si="62"/>
        <v>20000</v>
      </c>
      <c r="F120" s="317" t="s">
        <v>847</v>
      </c>
      <c r="G120" s="318">
        <v>1</v>
      </c>
      <c r="H120" s="318">
        <v>4000</v>
      </c>
      <c r="I120" s="316">
        <f t="shared" si="63"/>
        <v>4000</v>
      </c>
      <c r="J120" s="208"/>
      <c r="K120" s="315"/>
      <c r="L120" s="208"/>
      <c r="M120" s="208"/>
      <c r="N120" s="208"/>
      <c r="O120" s="208"/>
      <c r="P120" s="208"/>
      <c r="Q120" s="208"/>
      <c r="R120" s="208"/>
      <c r="S120" s="208"/>
      <c r="T120" s="208"/>
      <c r="U120" s="208"/>
      <c r="V120" s="199"/>
      <c r="W120" s="199"/>
      <c r="X120" s="199"/>
      <c r="Y120" s="199"/>
      <c r="Z120" s="199"/>
      <c r="AA120" s="199"/>
      <c r="AB120" s="199"/>
      <c r="AC120" s="309"/>
    </row>
    <row r="121" spans="1:29" ht="15.75" customHeight="1">
      <c r="A121" s="336" t="s">
        <v>955</v>
      </c>
      <c r="B121" s="330"/>
      <c r="C121" s="331"/>
      <c r="D121" s="337"/>
      <c r="E121" s="332" t="e">
        <f>E118+E115+E109+E106+E100</f>
        <v>#VALUE!</v>
      </c>
      <c r="F121" s="338"/>
      <c r="G121" s="339"/>
      <c r="H121" s="339"/>
      <c r="I121" s="333" t="e">
        <f>SUM(I99:I120)</f>
        <v>#VALUE!</v>
      </c>
      <c r="J121" s="208"/>
      <c r="K121" s="315"/>
      <c r="L121" s="208"/>
      <c r="M121" s="208"/>
      <c r="N121" s="208"/>
      <c r="O121" s="208"/>
      <c r="P121" s="208"/>
      <c r="Q121" s="208"/>
      <c r="R121" s="208"/>
      <c r="S121" s="208"/>
      <c r="T121" s="208"/>
      <c r="U121" s="208"/>
      <c r="V121" s="199"/>
      <c r="W121" s="199"/>
      <c r="X121" s="199"/>
      <c r="Y121" s="199"/>
      <c r="Z121" s="199"/>
      <c r="AA121" s="199"/>
      <c r="AB121" s="199"/>
      <c r="AC121" s="309"/>
    </row>
    <row r="122" spans="1:29" ht="15.75" customHeight="1">
      <c r="A122" s="277" t="s">
        <v>878</v>
      </c>
      <c r="B122" s="287"/>
      <c r="C122" s="288"/>
      <c r="D122" s="295"/>
      <c r="E122" s="295"/>
      <c r="F122" s="362"/>
      <c r="G122" s="363"/>
      <c r="H122" s="363"/>
      <c r="I122" s="318"/>
      <c r="J122" s="208"/>
      <c r="K122" s="315"/>
      <c r="L122" s="208"/>
      <c r="M122" s="208"/>
      <c r="N122" s="208"/>
      <c r="O122" s="208"/>
      <c r="P122" s="208"/>
      <c r="Q122" s="208"/>
      <c r="R122" s="208"/>
      <c r="S122" s="208"/>
      <c r="T122" s="208"/>
      <c r="U122" s="208"/>
      <c r="V122" s="199"/>
      <c r="W122" s="199"/>
      <c r="X122" s="199"/>
      <c r="Y122" s="199"/>
      <c r="Z122" s="199"/>
      <c r="AA122" s="199"/>
      <c r="AB122" s="199"/>
      <c r="AC122" s="309"/>
    </row>
    <row r="123" spans="1:29" ht="15.75" customHeight="1">
      <c r="A123" s="281" t="s">
        <v>879</v>
      </c>
      <c r="B123" s="287" t="s">
        <v>880</v>
      </c>
      <c r="C123" s="288"/>
      <c r="D123" s="295"/>
      <c r="E123" s="295"/>
      <c r="F123" s="362"/>
      <c r="G123" s="363"/>
      <c r="H123" s="363"/>
      <c r="I123" s="318"/>
      <c r="J123" s="208"/>
      <c r="K123" s="315"/>
      <c r="L123" s="208"/>
      <c r="M123" s="208"/>
      <c r="N123" s="208"/>
      <c r="O123" s="208"/>
      <c r="P123" s="208"/>
      <c r="Q123" s="208"/>
      <c r="R123" s="208"/>
      <c r="S123" s="208"/>
      <c r="T123" s="208"/>
      <c r="U123" s="208"/>
      <c r="V123" s="199"/>
      <c r="W123" s="199"/>
      <c r="X123" s="199"/>
      <c r="Y123" s="199"/>
      <c r="Z123" s="199"/>
      <c r="AA123" s="199"/>
      <c r="AB123" s="199"/>
      <c r="AC123" s="309"/>
    </row>
    <row r="124" spans="1:29" ht="51" customHeight="1">
      <c r="A124" s="281" t="s">
        <v>881</v>
      </c>
      <c r="B124" s="287" t="s">
        <v>880</v>
      </c>
      <c r="C124" s="288">
        <f>15</f>
        <v>15</v>
      </c>
      <c r="D124" s="268">
        <f>1000</f>
        <v>1000</v>
      </c>
      <c r="E124" s="268">
        <f>C124*D124</f>
        <v>15000</v>
      </c>
      <c r="F124" s="317" t="s">
        <v>880</v>
      </c>
      <c r="G124" s="318">
        <f>C124/2</f>
        <v>7.5</v>
      </c>
      <c r="H124" s="318">
        <f>D124</f>
        <v>1000</v>
      </c>
      <c r="I124" s="316">
        <f>G124*H124</f>
        <v>7500</v>
      </c>
      <c r="J124" s="208"/>
      <c r="K124" s="315"/>
      <c r="L124" s="208"/>
      <c r="M124" s="208"/>
      <c r="N124" s="208"/>
      <c r="O124" s="208"/>
      <c r="P124" s="208"/>
      <c r="Q124" s="208"/>
      <c r="R124" s="208"/>
      <c r="S124" s="208"/>
      <c r="T124" s="208"/>
      <c r="U124" s="208"/>
      <c r="V124" s="199"/>
      <c r="W124" s="199"/>
      <c r="X124" s="199"/>
      <c r="Y124" s="199"/>
      <c r="Z124" s="199"/>
      <c r="AA124" s="199"/>
      <c r="AB124" s="199"/>
      <c r="AC124" s="309"/>
    </row>
    <row r="125" spans="1:29" ht="21.75" customHeight="1">
      <c r="A125" s="281"/>
      <c r="B125" s="287"/>
      <c r="C125" s="288"/>
      <c r="D125" s="268"/>
      <c r="E125" s="268"/>
      <c r="F125" s="317"/>
      <c r="G125" s="318"/>
      <c r="H125" s="318"/>
      <c r="I125" s="316"/>
      <c r="J125" s="208"/>
      <c r="K125" s="315"/>
      <c r="L125" s="208"/>
      <c r="M125" s="208"/>
      <c r="N125" s="208"/>
      <c r="O125" s="208"/>
      <c r="P125" s="208"/>
      <c r="Q125" s="208"/>
      <c r="R125" s="208"/>
      <c r="S125" s="208"/>
      <c r="T125" s="208"/>
      <c r="U125" s="208"/>
      <c r="V125" s="199"/>
      <c r="W125" s="199"/>
      <c r="X125" s="199"/>
      <c r="Y125" s="199"/>
      <c r="Z125" s="199"/>
      <c r="AA125" s="199"/>
      <c r="AB125" s="199"/>
      <c r="AC125" s="309"/>
    </row>
    <row r="126" spans="1:29" ht="15.75" customHeight="1">
      <c r="A126" s="336" t="s">
        <v>882</v>
      </c>
      <c r="B126" s="330"/>
      <c r="C126" s="331"/>
      <c r="D126" s="337"/>
      <c r="E126" s="337">
        <f>SUM(E122:E125)</f>
        <v>15000</v>
      </c>
      <c r="F126" s="339"/>
      <c r="G126" s="339"/>
      <c r="H126" s="339"/>
      <c r="I126" s="339">
        <f>SUM(I122:I125)</f>
        <v>7500</v>
      </c>
      <c r="J126" s="208"/>
      <c r="K126" s="315"/>
      <c r="L126" s="208"/>
      <c r="M126" s="208"/>
      <c r="N126" s="208"/>
      <c r="O126" s="208"/>
      <c r="P126" s="208"/>
      <c r="Q126" s="208"/>
      <c r="R126" s="208"/>
      <c r="S126" s="208"/>
      <c r="T126" s="208"/>
      <c r="U126" s="208"/>
      <c r="V126" s="199"/>
      <c r="W126" s="199"/>
      <c r="X126" s="199"/>
      <c r="Y126" s="199"/>
      <c r="Z126" s="199"/>
      <c r="AA126" s="199"/>
      <c r="AB126" s="199"/>
      <c r="AC126" s="309"/>
    </row>
    <row r="127" spans="1:29" ht="15.75" customHeight="1">
      <c r="A127" s="364" t="s">
        <v>883</v>
      </c>
      <c r="B127" s="365"/>
      <c r="C127" s="366"/>
      <c r="D127" s="367"/>
      <c r="E127" s="332" t="e">
        <f>E42+E70+E86+E97+E121+E126</f>
        <v>#VALUE!</v>
      </c>
      <c r="F127" s="333"/>
      <c r="G127" s="333"/>
      <c r="H127" s="333"/>
      <c r="I127" s="333" t="e">
        <f>I42+I70+I86+I97+I121+I126</f>
        <v>#VALUE!</v>
      </c>
      <c r="J127" s="208"/>
      <c r="K127" s="315"/>
      <c r="L127" s="208"/>
      <c r="M127" s="208"/>
      <c r="N127" s="208"/>
      <c r="O127" s="208"/>
      <c r="P127" s="208"/>
      <c r="Q127" s="208"/>
      <c r="R127" s="208"/>
      <c r="S127" s="208"/>
      <c r="T127" s="208"/>
      <c r="U127" s="208"/>
      <c r="V127" s="199"/>
      <c r="W127" s="199"/>
      <c r="X127" s="199"/>
      <c r="Y127" s="199"/>
      <c r="Z127" s="199"/>
      <c r="AA127" s="199"/>
      <c r="AB127" s="199"/>
      <c r="AC127" s="309"/>
    </row>
    <row r="128" spans="1:29" ht="29.25" customHeight="1">
      <c r="A128" s="281" t="s">
        <v>884</v>
      </c>
      <c r="B128" s="266"/>
      <c r="C128" s="267"/>
      <c r="D128" s="268"/>
      <c r="E128" s="280" t="e">
        <f>E127*J128</f>
        <v>#VALUE!</v>
      </c>
      <c r="F128" s="368"/>
      <c r="G128" s="326"/>
      <c r="H128" s="326"/>
      <c r="I128" s="326" t="e">
        <f>I127*0.04</f>
        <v>#VALUE!</v>
      </c>
      <c r="J128" s="208">
        <f>82617.31/4210764.68</f>
        <v>1.9620500379042793E-2</v>
      </c>
      <c r="K128" s="315"/>
      <c r="L128" s="208"/>
      <c r="M128" s="208"/>
      <c r="N128" s="208"/>
      <c r="O128" s="208"/>
      <c r="P128" s="208"/>
      <c r="Q128" s="208"/>
      <c r="R128" s="208"/>
      <c r="S128" s="208"/>
      <c r="T128" s="208"/>
      <c r="U128" s="208"/>
      <c r="V128" s="199"/>
      <c r="W128" s="199"/>
      <c r="X128" s="199"/>
      <c r="Y128" s="199"/>
      <c r="Z128" s="199"/>
      <c r="AA128" s="199"/>
      <c r="AB128" s="199"/>
      <c r="AC128" s="309"/>
    </row>
    <row r="129" spans="1:29" ht="15.75" customHeight="1">
      <c r="A129" s="364" t="s">
        <v>885</v>
      </c>
      <c r="B129" s="330"/>
      <c r="C129" s="331"/>
      <c r="D129" s="337"/>
      <c r="E129" s="296" t="e">
        <f>E127+E128</f>
        <v>#VALUE!</v>
      </c>
      <c r="F129" s="369"/>
      <c r="G129" s="370"/>
      <c r="H129" s="369"/>
      <c r="I129" s="371" t="e">
        <f>I127+I128</f>
        <v>#VALUE!</v>
      </c>
      <c r="J129" s="208"/>
      <c r="K129" s="315"/>
      <c r="L129" s="208"/>
      <c r="M129" s="208"/>
      <c r="N129" s="208"/>
      <c r="O129" s="208"/>
      <c r="P129" s="208"/>
      <c r="Q129" s="208"/>
      <c r="R129" s="208"/>
      <c r="S129" s="208"/>
      <c r="T129" s="208"/>
      <c r="U129" s="208"/>
      <c r="V129" s="199"/>
      <c r="W129" s="199"/>
      <c r="X129" s="199"/>
      <c r="Y129" s="199"/>
      <c r="Z129" s="199"/>
      <c r="AA129" s="199"/>
      <c r="AB129" s="199"/>
      <c r="AC129" s="309"/>
    </row>
    <row r="130" spans="1:29" ht="15.75" customHeight="1">
      <c r="A130" s="281" t="s">
        <v>886</v>
      </c>
      <c r="B130" s="266"/>
      <c r="C130" s="267"/>
      <c r="D130" s="268"/>
      <c r="E130" s="297" t="e">
        <f>E129*0.05</f>
        <v>#VALUE!</v>
      </c>
      <c r="F130" s="368"/>
      <c r="G130" s="326"/>
      <c r="H130" s="368"/>
      <c r="I130" s="372" t="e">
        <f>I129*0.05</f>
        <v>#VALUE!</v>
      </c>
      <c r="J130" s="208"/>
      <c r="K130" s="315"/>
      <c r="L130" s="208"/>
      <c r="M130" s="208"/>
      <c r="N130" s="208"/>
      <c r="O130" s="208"/>
      <c r="P130" s="208"/>
      <c r="Q130" s="208"/>
      <c r="R130" s="208"/>
      <c r="S130" s="208"/>
      <c r="T130" s="208"/>
      <c r="U130" s="208"/>
      <c r="V130" s="199"/>
      <c r="W130" s="199"/>
      <c r="X130" s="199"/>
      <c r="Y130" s="199"/>
      <c r="Z130" s="199"/>
      <c r="AA130" s="199"/>
      <c r="AB130" s="199"/>
      <c r="AC130" s="309"/>
    </row>
    <row r="131" spans="1:29" ht="15.75" customHeight="1">
      <c r="A131" s="364" t="s">
        <v>887</v>
      </c>
      <c r="B131" s="330"/>
      <c r="C131" s="331"/>
      <c r="D131" s="337"/>
      <c r="E131" s="337" t="e">
        <f>E129+E130</f>
        <v>#VALUE!</v>
      </c>
      <c r="F131" s="373"/>
      <c r="G131" s="339"/>
      <c r="H131" s="373"/>
      <c r="I131" s="374" t="e">
        <f>I129+I130</f>
        <v>#VALUE!</v>
      </c>
      <c r="J131" s="208"/>
      <c r="K131" s="315"/>
      <c r="L131" s="208"/>
      <c r="M131" s="208"/>
      <c r="N131" s="208"/>
      <c r="O131" s="208"/>
      <c r="P131" s="208"/>
      <c r="Q131" s="208"/>
      <c r="R131" s="208"/>
      <c r="S131" s="208"/>
      <c r="T131" s="208"/>
      <c r="U131" s="208"/>
      <c r="V131" s="199"/>
      <c r="W131" s="199"/>
      <c r="X131" s="199"/>
      <c r="Y131" s="199"/>
      <c r="Z131" s="199"/>
      <c r="AA131" s="199"/>
      <c r="AB131" s="199"/>
      <c r="AC131" s="309"/>
    </row>
    <row r="132" spans="1:29" ht="34.5" customHeight="1">
      <c r="A132" s="298" t="s">
        <v>956</v>
      </c>
      <c r="B132" s="299"/>
      <c r="C132" s="300"/>
      <c r="D132" s="301"/>
      <c r="E132" s="302"/>
      <c r="F132" s="375"/>
      <c r="G132" s="376"/>
      <c r="H132" s="375"/>
      <c r="I132" s="368">
        <f>E132/4</f>
        <v>0</v>
      </c>
      <c r="J132" s="208"/>
      <c r="K132" s="315"/>
      <c r="L132" s="208"/>
      <c r="M132" s="208"/>
      <c r="N132" s="208"/>
      <c r="O132" s="208"/>
      <c r="P132" s="208"/>
      <c r="Q132" s="208"/>
      <c r="R132" s="208"/>
      <c r="S132" s="208"/>
      <c r="T132" s="208"/>
      <c r="U132" s="208"/>
      <c r="V132" s="199"/>
      <c r="W132" s="199"/>
      <c r="X132" s="199"/>
      <c r="Y132" s="199"/>
      <c r="Z132" s="199"/>
      <c r="AA132" s="199"/>
      <c r="AB132" s="199"/>
      <c r="AC132" s="309"/>
    </row>
    <row r="133" spans="1:29" ht="15.75" customHeight="1">
      <c r="A133" s="364" t="s">
        <v>957</v>
      </c>
      <c r="B133" s="330"/>
      <c r="C133" s="331"/>
      <c r="D133" s="337"/>
      <c r="E133" s="337" t="e">
        <f>E132+E131</f>
        <v>#VALUE!</v>
      </c>
      <c r="F133" s="373"/>
      <c r="G133" s="339"/>
      <c r="H133" s="373"/>
      <c r="I133" s="377" t="e">
        <f>I132+I131</f>
        <v>#VALUE!</v>
      </c>
      <c r="J133" s="208"/>
      <c r="K133" s="315"/>
      <c r="L133" s="208"/>
      <c r="M133" s="208"/>
      <c r="N133" s="208"/>
      <c r="O133" s="208"/>
      <c r="P133" s="208"/>
      <c r="Q133" s="208"/>
      <c r="R133" s="208"/>
      <c r="S133" s="208"/>
      <c r="T133" s="208"/>
      <c r="U133" s="208"/>
      <c r="V133" s="199"/>
      <c r="W133" s="199"/>
      <c r="X133" s="199"/>
      <c r="Y133" s="199"/>
      <c r="Z133" s="199"/>
      <c r="AA133" s="199"/>
      <c r="AB133" s="199"/>
      <c r="AC133" s="309"/>
    </row>
    <row r="134" spans="1:29" ht="12.75" customHeight="1">
      <c r="A134" s="303"/>
      <c r="B134" s="304"/>
      <c r="C134" s="199"/>
      <c r="D134" s="199"/>
      <c r="E134" s="378"/>
      <c r="F134" s="199"/>
      <c r="G134" s="307"/>
      <c r="H134" s="199"/>
      <c r="I134" s="378"/>
      <c r="J134" s="199"/>
      <c r="K134" s="308"/>
      <c r="L134" s="199"/>
      <c r="M134" s="199"/>
      <c r="N134" s="199"/>
      <c r="O134" s="199"/>
      <c r="P134" s="199"/>
      <c r="Q134" s="199"/>
      <c r="R134" s="199"/>
      <c r="S134" s="199"/>
      <c r="T134" s="199"/>
      <c r="U134" s="199"/>
      <c r="V134" s="199"/>
      <c r="W134" s="199"/>
      <c r="X134" s="199"/>
      <c r="Y134" s="199"/>
      <c r="Z134" s="199"/>
      <c r="AA134" s="199"/>
      <c r="AB134" s="199"/>
      <c r="AC134" s="309"/>
    </row>
    <row r="135" spans="1:29" ht="31.5" hidden="1" customHeight="1">
      <c r="A135" s="1014" t="s">
        <v>888</v>
      </c>
      <c r="B135" s="942"/>
      <c r="C135" s="942"/>
      <c r="D135" s="942"/>
      <c r="E135" s="942"/>
      <c r="F135" s="942"/>
      <c r="G135" s="942"/>
      <c r="H135" s="942"/>
      <c r="I135" s="942"/>
      <c r="J135" s="199"/>
      <c r="K135" s="308"/>
      <c r="L135" s="199"/>
      <c r="M135" s="199"/>
      <c r="N135" s="199"/>
      <c r="O135" s="199"/>
      <c r="P135" s="199"/>
      <c r="Q135" s="199"/>
      <c r="R135" s="199"/>
      <c r="S135" s="199"/>
      <c r="T135" s="199"/>
      <c r="U135" s="199"/>
      <c r="V135" s="199"/>
      <c r="W135" s="199"/>
      <c r="X135" s="199"/>
      <c r="Y135" s="199"/>
      <c r="Z135" s="199"/>
      <c r="AA135" s="199"/>
      <c r="AB135" s="199"/>
      <c r="AC135" s="309"/>
    </row>
    <row r="136" spans="1:29" ht="32.25" hidden="1" customHeight="1">
      <c r="A136" s="1010" t="s">
        <v>889</v>
      </c>
      <c r="B136" s="942"/>
      <c r="C136" s="942"/>
      <c r="D136" s="942"/>
      <c r="E136" s="942"/>
      <c r="F136" s="942"/>
      <c r="G136" s="942"/>
      <c r="H136" s="942"/>
      <c r="I136" s="942"/>
      <c r="J136" s="199"/>
      <c r="K136" s="308"/>
      <c r="L136" s="199"/>
      <c r="M136" s="199"/>
      <c r="N136" s="199"/>
      <c r="O136" s="199"/>
      <c r="P136" s="199"/>
      <c r="Q136" s="199"/>
      <c r="R136" s="199"/>
      <c r="S136" s="199"/>
      <c r="T136" s="199"/>
      <c r="U136" s="199"/>
      <c r="V136" s="199"/>
      <c r="W136" s="199"/>
      <c r="X136" s="199"/>
      <c r="Y136" s="199"/>
      <c r="Z136" s="199"/>
      <c r="AA136" s="199"/>
      <c r="AB136" s="199"/>
      <c r="AC136" s="309"/>
    </row>
    <row r="137" spans="1:29" ht="32.25" hidden="1" customHeight="1">
      <c r="A137" s="1010" t="s">
        <v>890</v>
      </c>
      <c r="B137" s="942"/>
      <c r="C137" s="942"/>
      <c r="D137" s="942"/>
      <c r="E137" s="942"/>
      <c r="F137" s="942"/>
      <c r="G137" s="942"/>
      <c r="H137" s="942"/>
      <c r="I137" s="942"/>
      <c r="J137" s="199"/>
      <c r="K137" s="308"/>
      <c r="L137" s="199"/>
      <c r="M137" s="199"/>
      <c r="N137" s="199"/>
      <c r="O137" s="199"/>
      <c r="P137" s="199"/>
      <c r="Q137" s="199"/>
      <c r="R137" s="199"/>
      <c r="S137" s="199"/>
      <c r="T137" s="199"/>
      <c r="U137" s="199"/>
      <c r="V137" s="199"/>
      <c r="W137" s="199"/>
      <c r="X137" s="199"/>
      <c r="Y137" s="199"/>
      <c r="Z137" s="199"/>
      <c r="AA137" s="199"/>
      <c r="AB137" s="199"/>
      <c r="AC137" s="309"/>
    </row>
    <row r="138" spans="1:29" ht="19.5" hidden="1" customHeight="1">
      <c r="A138" s="1010" t="s">
        <v>891</v>
      </c>
      <c r="B138" s="942"/>
      <c r="C138" s="942"/>
      <c r="D138" s="942"/>
      <c r="E138" s="942"/>
      <c r="F138" s="942"/>
      <c r="G138" s="942"/>
      <c r="H138" s="942"/>
      <c r="I138" s="942"/>
      <c r="J138" s="199"/>
      <c r="K138" s="308"/>
      <c r="L138" s="199"/>
      <c r="M138" s="199"/>
      <c r="N138" s="199"/>
      <c r="O138" s="199"/>
      <c r="P138" s="199"/>
      <c r="Q138" s="199"/>
      <c r="R138" s="199"/>
      <c r="S138" s="199"/>
      <c r="T138" s="199"/>
      <c r="U138" s="199"/>
      <c r="V138" s="199"/>
      <c r="W138" s="199"/>
      <c r="X138" s="199"/>
      <c r="Y138" s="199"/>
      <c r="Z138" s="199"/>
      <c r="AA138" s="199"/>
      <c r="AB138" s="199"/>
      <c r="AC138" s="309"/>
    </row>
    <row r="139" spans="1:29" ht="66.75" hidden="1" customHeight="1">
      <c r="A139" s="1010" t="s">
        <v>892</v>
      </c>
      <c r="B139" s="942"/>
      <c r="C139" s="942"/>
      <c r="D139" s="942"/>
      <c r="E139" s="942"/>
      <c r="F139" s="942"/>
      <c r="G139" s="942"/>
      <c r="H139" s="942"/>
      <c r="I139" s="942"/>
      <c r="J139" s="199"/>
      <c r="K139" s="308"/>
      <c r="L139" s="199"/>
      <c r="M139" s="199"/>
      <c r="N139" s="199"/>
      <c r="O139" s="199"/>
      <c r="P139" s="199"/>
      <c r="Q139" s="199"/>
      <c r="R139" s="199"/>
      <c r="S139" s="199"/>
      <c r="T139" s="199"/>
      <c r="U139" s="199"/>
      <c r="V139" s="199"/>
      <c r="W139" s="199"/>
      <c r="X139" s="199"/>
      <c r="Y139" s="199"/>
      <c r="Z139" s="199"/>
      <c r="AA139" s="199"/>
      <c r="AB139" s="199"/>
      <c r="AC139" s="309"/>
    </row>
    <row r="140" spans="1:29" ht="32.25" hidden="1" customHeight="1">
      <c r="A140" s="1010" t="s">
        <v>893</v>
      </c>
      <c r="B140" s="942"/>
      <c r="C140" s="942"/>
      <c r="D140" s="942"/>
      <c r="E140" s="942"/>
      <c r="F140" s="942"/>
      <c r="G140" s="942"/>
      <c r="H140" s="942"/>
      <c r="I140" s="942"/>
      <c r="J140" s="199"/>
      <c r="K140" s="308"/>
      <c r="L140" s="199"/>
      <c r="M140" s="199"/>
      <c r="N140" s="199"/>
      <c r="O140" s="199"/>
      <c r="P140" s="199"/>
      <c r="Q140" s="199"/>
      <c r="R140" s="199"/>
      <c r="S140" s="199"/>
      <c r="T140" s="199"/>
      <c r="U140" s="199"/>
      <c r="V140" s="199"/>
      <c r="W140" s="199"/>
      <c r="X140" s="199"/>
      <c r="Y140" s="199"/>
      <c r="Z140" s="199"/>
      <c r="AA140" s="199"/>
      <c r="AB140" s="199"/>
      <c r="AC140" s="309"/>
    </row>
    <row r="141" spans="1:29" ht="16.5" hidden="1" customHeight="1">
      <c r="A141" s="1010" t="s">
        <v>894</v>
      </c>
      <c r="B141" s="942"/>
      <c r="C141" s="942"/>
      <c r="D141" s="942"/>
      <c r="E141" s="942"/>
      <c r="F141" s="942"/>
      <c r="G141" s="942"/>
      <c r="H141" s="942"/>
      <c r="I141" s="942"/>
      <c r="J141" s="199"/>
      <c r="K141" s="308"/>
      <c r="L141" s="199"/>
      <c r="M141" s="199"/>
      <c r="N141" s="199"/>
      <c r="O141" s="199"/>
      <c r="P141" s="199"/>
      <c r="Q141" s="199"/>
      <c r="R141" s="199"/>
      <c r="S141" s="199"/>
      <c r="T141" s="199"/>
      <c r="U141" s="199"/>
      <c r="V141" s="199"/>
      <c r="W141" s="199"/>
      <c r="X141" s="199"/>
      <c r="Y141" s="199"/>
      <c r="Z141" s="199"/>
      <c r="AA141" s="199"/>
      <c r="AB141" s="199"/>
      <c r="AC141" s="309"/>
    </row>
    <row r="142" spans="1:29" ht="16.5" hidden="1" customHeight="1">
      <c r="A142" s="1010" t="s">
        <v>895</v>
      </c>
      <c r="B142" s="942"/>
      <c r="C142" s="942"/>
      <c r="D142" s="942"/>
      <c r="E142" s="942"/>
      <c r="F142" s="942"/>
      <c r="G142" s="942"/>
      <c r="H142" s="942"/>
      <c r="I142" s="942"/>
      <c r="J142" s="199"/>
      <c r="K142" s="308"/>
      <c r="L142" s="199"/>
      <c r="M142" s="199"/>
      <c r="N142" s="199"/>
      <c r="O142" s="199"/>
      <c r="P142" s="199"/>
      <c r="Q142" s="199"/>
      <c r="R142" s="199"/>
      <c r="S142" s="199"/>
      <c r="T142" s="199"/>
      <c r="U142" s="199"/>
      <c r="V142" s="199"/>
      <c r="W142" s="199"/>
      <c r="X142" s="199"/>
      <c r="Y142" s="199"/>
      <c r="Z142" s="199"/>
      <c r="AA142" s="199"/>
      <c r="AB142" s="199"/>
      <c r="AC142" s="309"/>
    </row>
    <row r="143" spans="1:29" ht="16.5" hidden="1" customHeight="1">
      <c r="A143" s="1010" t="s">
        <v>896</v>
      </c>
      <c r="B143" s="942"/>
      <c r="C143" s="942"/>
      <c r="D143" s="942"/>
      <c r="E143" s="942"/>
      <c r="F143" s="942"/>
      <c r="G143" s="942"/>
      <c r="H143" s="942"/>
      <c r="I143" s="942"/>
      <c r="J143" s="199"/>
      <c r="K143" s="308"/>
      <c r="L143" s="199"/>
      <c r="M143" s="199"/>
      <c r="N143" s="199"/>
      <c r="O143" s="199"/>
      <c r="P143" s="199"/>
      <c r="Q143" s="199"/>
      <c r="R143" s="199"/>
      <c r="S143" s="199"/>
      <c r="T143" s="199"/>
      <c r="U143" s="199"/>
      <c r="V143" s="199"/>
      <c r="W143" s="199"/>
      <c r="X143" s="199"/>
      <c r="Y143" s="199"/>
      <c r="Z143" s="199"/>
      <c r="AA143" s="199"/>
      <c r="AB143" s="199"/>
      <c r="AC143" s="309"/>
    </row>
    <row r="144" spans="1:29" ht="18" hidden="1" customHeight="1">
      <c r="A144" s="1010" t="s">
        <v>897</v>
      </c>
      <c r="B144" s="942"/>
      <c r="C144" s="942"/>
      <c r="D144" s="942"/>
      <c r="E144" s="942"/>
      <c r="F144" s="942"/>
      <c r="G144" s="942"/>
      <c r="H144" s="942"/>
      <c r="I144" s="942"/>
      <c r="J144" s="199"/>
      <c r="K144" s="308"/>
      <c r="L144" s="199"/>
      <c r="M144" s="199"/>
      <c r="N144" s="199"/>
      <c r="O144" s="199"/>
      <c r="P144" s="199"/>
      <c r="Q144" s="199"/>
      <c r="R144" s="199"/>
      <c r="S144" s="199"/>
      <c r="T144" s="199"/>
      <c r="U144" s="199"/>
      <c r="V144" s="199"/>
      <c r="W144" s="199"/>
      <c r="X144" s="199"/>
      <c r="Y144" s="199"/>
      <c r="Z144" s="199"/>
      <c r="AA144" s="199"/>
      <c r="AB144" s="199"/>
      <c r="AC144" s="309"/>
    </row>
    <row r="145" spans="1:29" ht="53.25" hidden="1" customHeight="1">
      <c r="A145" s="1010" t="s">
        <v>898</v>
      </c>
      <c r="B145" s="942"/>
      <c r="C145" s="942"/>
      <c r="D145" s="942"/>
      <c r="E145" s="942"/>
      <c r="F145" s="942"/>
      <c r="G145" s="942"/>
      <c r="H145" s="942"/>
      <c r="I145" s="942"/>
      <c r="J145" s="199"/>
      <c r="K145" s="308"/>
      <c r="L145" s="199"/>
      <c r="M145" s="199"/>
      <c r="N145" s="199"/>
      <c r="O145" s="199"/>
      <c r="P145" s="199"/>
      <c r="Q145" s="199"/>
      <c r="R145" s="199"/>
      <c r="S145" s="199"/>
      <c r="T145" s="199"/>
      <c r="U145" s="199"/>
      <c r="V145" s="199"/>
      <c r="W145" s="199"/>
      <c r="X145" s="199"/>
      <c r="Y145" s="199"/>
      <c r="Z145" s="199"/>
      <c r="AA145" s="199"/>
      <c r="AB145" s="199"/>
      <c r="AC145" s="309"/>
    </row>
    <row r="146" spans="1:29" ht="18.75" hidden="1" customHeight="1">
      <c r="A146" s="1010" t="s">
        <v>899</v>
      </c>
      <c r="B146" s="942"/>
      <c r="C146" s="942"/>
      <c r="D146" s="942"/>
      <c r="E146" s="942"/>
      <c r="F146" s="942"/>
      <c r="G146" s="942"/>
      <c r="H146" s="942"/>
      <c r="I146" s="942"/>
      <c r="J146" s="199"/>
      <c r="K146" s="308"/>
      <c r="L146" s="199"/>
      <c r="M146" s="199"/>
      <c r="N146" s="199"/>
      <c r="O146" s="199"/>
      <c r="P146" s="199"/>
      <c r="Q146" s="199"/>
      <c r="R146" s="199"/>
      <c r="S146" s="199"/>
      <c r="T146" s="199"/>
      <c r="U146" s="199"/>
      <c r="V146" s="199"/>
      <c r="W146" s="199"/>
      <c r="X146" s="199"/>
      <c r="Y146" s="199"/>
      <c r="Z146" s="199"/>
      <c r="AA146" s="199"/>
      <c r="AB146" s="199"/>
      <c r="AC146" s="309"/>
    </row>
    <row r="147" spans="1:29" ht="42.75" hidden="1" customHeight="1">
      <c r="A147" s="1010" t="s">
        <v>900</v>
      </c>
      <c r="B147" s="942"/>
      <c r="C147" s="942"/>
      <c r="D147" s="942"/>
      <c r="E147" s="942"/>
      <c r="F147" s="942"/>
      <c r="G147" s="942"/>
      <c r="H147" s="942"/>
      <c r="I147" s="942"/>
      <c r="J147" s="199"/>
      <c r="K147" s="308"/>
      <c r="L147" s="199"/>
      <c r="M147" s="199"/>
      <c r="N147" s="199"/>
      <c r="O147" s="199"/>
      <c r="P147" s="199"/>
      <c r="Q147" s="199"/>
      <c r="R147" s="199"/>
      <c r="S147" s="199"/>
      <c r="T147" s="199"/>
      <c r="U147" s="199"/>
      <c r="V147" s="199"/>
      <c r="W147" s="199"/>
      <c r="X147" s="199"/>
      <c r="Y147" s="199"/>
      <c r="Z147" s="199"/>
      <c r="AA147" s="199"/>
      <c r="AB147" s="199"/>
      <c r="AC147" s="309"/>
    </row>
    <row r="148" spans="1:29" ht="15.75" hidden="1" customHeight="1">
      <c r="A148" s="1010" t="s">
        <v>901</v>
      </c>
      <c r="B148" s="942"/>
      <c r="C148" s="942"/>
      <c r="D148" s="942"/>
      <c r="E148" s="942"/>
      <c r="F148" s="942"/>
      <c r="G148" s="942"/>
      <c r="H148" s="942"/>
      <c r="I148" s="942"/>
      <c r="J148" s="199"/>
      <c r="K148" s="308"/>
      <c r="L148" s="199"/>
      <c r="M148" s="199"/>
      <c r="N148" s="199"/>
      <c r="O148" s="199"/>
      <c r="P148" s="199"/>
      <c r="Q148" s="199"/>
      <c r="R148" s="199"/>
      <c r="S148" s="199"/>
      <c r="T148" s="199"/>
      <c r="U148" s="199"/>
      <c r="V148" s="199"/>
      <c r="W148" s="199"/>
      <c r="X148" s="199"/>
      <c r="Y148" s="199"/>
      <c r="Z148" s="199"/>
      <c r="AA148" s="199"/>
      <c r="AB148" s="199"/>
      <c r="AC148" s="309"/>
    </row>
    <row r="149" spans="1:29" ht="12.75" hidden="1" customHeight="1">
      <c r="A149" s="303"/>
      <c r="B149" s="304"/>
      <c r="C149" s="199"/>
      <c r="D149" s="199"/>
      <c r="E149" s="199"/>
      <c r="F149" s="199"/>
      <c r="G149" s="307"/>
      <c r="H149" s="199"/>
      <c r="I149" s="199"/>
      <c r="J149" s="199"/>
      <c r="K149" s="308"/>
      <c r="L149" s="199"/>
      <c r="M149" s="199"/>
      <c r="N149" s="199"/>
      <c r="O149" s="199"/>
      <c r="P149" s="199"/>
      <c r="Q149" s="199"/>
      <c r="R149" s="199"/>
      <c r="S149" s="199"/>
      <c r="T149" s="199"/>
      <c r="U149" s="199"/>
      <c r="V149" s="199"/>
      <c r="W149" s="199"/>
      <c r="X149" s="199"/>
      <c r="Y149" s="199"/>
      <c r="Z149" s="199"/>
      <c r="AA149" s="199"/>
      <c r="AB149" s="199"/>
      <c r="AC149" s="309"/>
    </row>
    <row r="150" spans="1:29" ht="12.75" hidden="1" customHeight="1">
      <c r="A150" s="303"/>
      <c r="B150" s="304"/>
      <c r="C150" s="199"/>
      <c r="D150" s="199"/>
      <c r="E150" s="379"/>
      <c r="F150" s="380"/>
      <c r="G150" s="307"/>
      <c r="H150" s="199"/>
      <c r="I150" s="199"/>
      <c r="J150" s="199"/>
      <c r="K150" s="308"/>
      <c r="L150" s="199"/>
      <c r="M150" s="199"/>
      <c r="N150" s="199"/>
      <c r="O150" s="199"/>
      <c r="P150" s="199"/>
      <c r="Q150" s="199"/>
      <c r="R150" s="199"/>
      <c r="S150" s="199"/>
      <c r="T150" s="199"/>
      <c r="U150" s="199"/>
      <c r="V150" s="199"/>
      <c r="W150" s="199"/>
      <c r="X150" s="199"/>
      <c r="Y150" s="199"/>
      <c r="Z150" s="199"/>
      <c r="AA150" s="199"/>
      <c r="AB150" s="199"/>
      <c r="AC150" s="309"/>
    </row>
    <row r="151" spans="1:29" ht="12.75" hidden="1" customHeight="1">
      <c r="A151" s="303"/>
      <c r="B151" s="304"/>
      <c r="C151" s="199"/>
      <c r="D151" s="199"/>
      <c r="E151" s="307"/>
      <c r="F151" s="307"/>
      <c r="G151" s="307"/>
      <c r="H151" s="199"/>
      <c r="I151" s="199"/>
      <c r="J151" s="199"/>
      <c r="K151" s="308"/>
      <c r="L151" s="199"/>
      <c r="M151" s="199"/>
      <c r="N151" s="199"/>
      <c r="O151" s="199"/>
      <c r="P151" s="199"/>
      <c r="Q151" s="199"/>
      <c r="R151" s="199"/>
      <c r="S151" s="199"/>
      <c r="T151" s="199"/>
      <c r="U151" s="199"/>
      <c r="V151" s="199"/>
      <c r="W151" s="199"/>
      <c r="X151" s="199"/>
      <c r="Y151" s="199"/>
      <c r="Z151" s="199"/>
      <c r="AA151" s="199"/>
      <c r="AB151" s="199"/>
      <c r="AC151" s="309"/>
    </row>
    <row r="152" spans="1:29" ht="12.75" hidden="1" customHeight="1">
      <c r="A152" s="303"/>
      <c r="B152" s="304"/>
      <c r="C152" s="199"/>
      <c r="D152" s="199"/>
      <c r="E152" s="307"/>
      <c r="F152" s="199"/>
      <c r="G152" s="307"/>
      <c r="H152" s="307"/>
      <c r="I152" s="199"/>
      <c r="J152" s="199"/>
      <c r="K152" s="308"/>
      <c r="L152" s="199"/>
      <c r="M152" s="199"/>
      <c r="N152" s="199"/>
      <c r="O152" s="199"/>
      <c r="P152" s="199"/>
      <c r="Q152" s="199"/>
      <c r="R152" s="199"/>
      <c r="S152" s="199"/>
      <c r="T152" s="199"/>
      <c r="U152" s="199"/>
      <c r="V152" s="199"/>
      <c r="W152" s="199"/>
      <c r="X152" s="199"/>
      <c r="Y152" s="199"/>
      <c r="Z152" s="199"/>
      <c r="AA152" s="199"/>
      <c r="AB152" s="199"/>
      <c r="AC152" s="309"/>
    </row>
    <row r="153" spans="1:29" ht="72" hidden="1" customHeight="1">
      <c r="A153" s="381"/>
      <c r="B153" s="382" t="s">
        <v>902</v>
      </c>
      <c r="C153" s="270" t="s">
        <v>903</v>
      </c>
      <c r="D153" s="270" t="s">
        <v>904</v>
      </c>
      <c r="E153" s="383"/>
      <c r="F153" s="192"/>
      <c r="G153" s="384"/>
      <c r="H153" s="192"/>
      <c r="I153" s="192"/>
      <c r="J153" s="192"/>
      <c r="K153" s="385"/>
      <c r="L153" s="192"/>
      <c r="M153" s="192"/>
      <c r="N153" s="192"/>
      <c r="O153" s="192"/>
      <c r="P153" s="192"/>
      <c r="Q153" s="192"/>
      <c r="R153" s="192"/>
      <c r="S153" s="192"/>
      <c r="T153" s="192"/>
      <c r="U153" s="192"/>
      <c r="V153" s="192"/>
      <c r="W153" s="192"/>
      <c r="X153" s="192"/>
      <c r="Y153" s="192"/>
      <c r="Z153" s="192"/>
      <c r="AA153" s="192"/>
      <c r="AB153" s="192"/>
      <c r="AC153" s="309"/>
    </row>
    <row r="154" spans="1:29" ht="19.5" hidden="1" customHeight="1">
      <c r="A154" s="181" t="s">
        <v>905</v>
      </c>
      <c r="B154" s="386" t="e">
        <f>E5+E13</f>
        <v>#VALUE!</v>
      </c>
      <c r="C154" s="387" t="e">
        <f>B154/B164</f>
        <v>#VALUE!</v>
      </c>
      <c r="D154" s="387" t="e">
        <f>B154/B165</f>
        <v>#VALUE!</v>
      </c>
      <c r="E154" s="388"/>
      <c r="F154" s="199"/>
      <c r="G154" s="307"/>
      <c r="H154" s="199"/>
      <c r="I154" s="199"/>
      <c r="J154" s="199"/>
      <c r="K154" s="308"/>
      <c r="L154" s="199"/>
      <c r="M154" s="199"/>
      <c r="N154" s="199"/>
      <c r="O154" s="199"/>
      <c r="P154" s="199"/>
      <c r="Q154" s="199"/>
      <c r="R154" s="199"/>
      <c r="S154" s="199"/>
      <c r="T154" s="199"/>
      <c r="U154" s="199"/>
      <c r="V154" s="199"/>
      <c r="W154" s="199"/>
      <c r="X154" s="199"/>
      <c r="Y154" s="199"/>
      <c r="Z154" s="199"/>
      <c r="AA154" s="199"/>
      <c r="AB154" s="199"/>
      <c r="AC154" s="309"/>
    </row>
    <row r="155" spans="1:29" ht="19.5" hidden="1" customHeight="1">
      <c r="A155" s="181" t="s">
        <v>906</v>
      </c>
      <c r="B155" s="386">
        <f>E27+E38</f>
        <v>278440</v>
      </c>
      <c r="C155" s="387" t="e">
        <f>B155/B164</f>
        <v>#VALUE!</v>
      </c>
      <c r="D155" s="387" t="e">
        <f>B155/B165</f>
        <v>#VALUE!</v>
      </c>
      <c r="E155" s="388"/>
      <c r="F155" s="199"/>
      <c r="G155" s="307"/>
      <c r="H155" s="199"/>
      <c r="I155" s="199"/>
      <c r="J155" s="199"/>
      <c r="K155" s="308"/>
      <c r="L155" s="199"/>
      <c r="M155" s="199"/>
      <c r="N155" s="199"/>
      <c r="O155" s="199"/>
      <c r="P155" s="199"/>
      <c r="Q155" s="199"/>
      <c r="R155" s="199"/>
      <c r="S155" s="199"/>
      <c r="T155" s="199"/>
      <c r="U155" s="199"/>
      <c r="V155" s="199"/>
      <c r="W155" s="199"/>
      <c r="X155" s="199"/>
      <c r="Y155" s="199"/>
      <c r="Z155" s="199"/>
      <c r="AA155" s="199"/>
      <c r="AB155" s="199"/>
      <c r="AC155" s="309"/>
    </row>
    <row r="156" spans="1:29" ht="19.5" hidden="1" customHeight="1">
      <c r="A156" s="382" t="s">
        <v>907</v>
      </c>
      <c r="B156" s="381" t="e">
        <f>B154+B155</f>
        <v>#VALUE!</v>
      </c>
      <c r="C156" s="387" t="e">
        <f>B156/B164</f>
        <v>#VALUE!</v>
      </c>
      <c r="D156" s="387" t="e">
        <f>B156/B165</f>
        <v>#VALUE!</v>
      </c>
      <c r="E156" s="388"/>
      <c r="F156" s="307"/>
      <c r="G156" s="307"/>
      <c r="H156" s="199"/>
      <c r="I156" s="199"/>
      <c r="J156" s="199"/>
      <c r="K156" s="308"/>
      <c r="L156" s="199"/>
      <c r="M156" s="199"/>
      <c r="N156" s="199"/>
      <c r="O156" s="199"/>
      <c r="P156" s="199"/>
      <c r="Q156" s="199"/>
      <c r="R156" s="199"/>
      <c r="S156" s="199"/>
      <c r="T156" s="199"/>
      <c r="U156" s="199"/>
      <c r="V156" s="199"/>
      <c r="W156" s="199"/>
      <c r="X156" s="199"/>
      <c r="Y156" s="199"/>
      <c r="Z156" s="199"/>
      <c r="AA156" s="199"/>
      <c r="AB156" s="199"/>
      <c r="AC156" s="309"/>
    </row>
    <row r="157" spans="1:29" ht="32.25" hidden="1" customHeight="1">
      <c r="A157" s="181" t="s">
        <v>908</v>
      </c>
      <c r="B157" s="386">
        <f>E57+E45</f>
        <v>345400</v>
      </c>
      <c r="C157" s="387" t="e">
        <f>B157/B164</f>
        <v>#VALUE!</v>
      </c>
      <c r="D157" s="387" t="e">
        <f>B157/B165</f>
        <v>#VALUE!</v>
      </c>
      <c r="E157" s="388"/>
      <c r="F157" s="199"/>
      <c r="G157" s="307"/>
      <c r="H157" s="199"/>
      <c r="I157" s="199"/>
      <c r="J157" s="199"/>
      <c r="K157" s="308"/>
      <c r="L157" s="199"/>
      <c r="M157" s="199"/>
      <c r="N157" s="199"/>
      <c r="O157" s="199"/>
      <c r="P157" s="199"/>
      <c r="Q157" s="199"/>
      <c r="R157" s="199"/>
      <c r="S157" s="199"/>
      <c r="T157" s="199"/>
      <c r="U157" s="199"/>
      <c r="V157" s="199"/>
      <c r="W157" s="199"/>
      <c r="X157" s="199"/>
      <c r="Y157" s="199"/>
      <c r="Z157" s="199"/>
      <c r="AA157" s="199"/>
      <c r="AB157" s="199"/>
      <c r="AC157" s="309"/>
    </row>
    <row r="158" spans="1:29" ht="19.5" hidden="1" customHeight="1">
      <c r="A158" s="181" t="s">
        <v>909</v>
      </c>
      <c r="B158" s="386">
        <f>E67</f>
        <v>20000</v>
      </c>
      <c r="C158" s="389" t="e">
        <f>B158/B164</f>
        <v>#VALUE!</v>
      </c>
      <c r="D158" s="389" t="e">
        <f>B158/B165</f>
        <v>#VALUE!</v>
      </c>
      <c r="E158" s="303"/>
      <c r="F158" s="304"/>
      <c r="G158" s="305"/>
      <c r="H158" s="304"/>
      <c r="I158" s="304"/>
      <c r="J158" s="304"/>
      <c r="K158" s="306"/>
      <c r="L158" s="304"/>
      <c r="M158" s="304"/>
      <c r="N158" s="304"/>
      <c r="O158" s="304"/>
      <c r="P158" s="304"/>
      <c r="Q158" s="199"/>
      <c r="R158" s="199"/>
      <c r="S158" s="199"/>
      <c r="T158" s="199"/>
      <c r="U158" s="199"/>
      <c r="V158" s="199"/>
      <c r="W158" s="199"/>
      <c r="X158" s="199"/>
      <c r="Y158" s="199"/>
      <c r="Z158" s="199"/>
      <c r="AA158" s="199"/>
      <c r="AB158" s="199"/>
      <c r="AC158" s="309"/>
    </row>
    <row r="159" spans="1:29" ht="19.5" hidden="1" customHeight="1">
      <c r="A159" s="382" t="s">
        <v>816</v>
      </c>
      <c r="B159" s="381">
        <f>E70</f>
        <v>365400</v>
      </c>
      <c r="C159" s="390" t="e">
        <f>B159/B164</f>
        <v>#VALUE!</v>
      </c>
      <c r="D159" s="390" t="e">
        <f>B159/B165</f>
        <v>#VALUE!</v>
      </c>
      <c r="E159" s="391"/>
      <c r="F159" s="392"/>
      <c r="G159" s="393"/>
      <c r="H159" s="392"/>
      <c r="I159" s="392"/>
      <c r="J159" s="392"/>
      <c r="K159" s="394"/>
      <c r="L159" s="392"/>
      <c r="M159" s="392"/>
      <c r="N159" s="392"/>
      <c r="O159" s="392"/>
      <c r="P159" s="392"/>
      <c r="Q159" s="192"/>
      <c r="R159" s="192"/>
      <c r="S159" s="192"/>
      <c r="T159" s="192"/>
      <c r="U159" s="192"/>
      <c r="V159" s="192"/>
      <c r="W159" s="192"/>
      <c r="X159" s="192"/>
      <c r="Y159" s="192"/>
      <c r="Z159" s="192"/>
      <c r="AA159" s="192"/>
      <c r="AB159" s="192"/>
      <c r="AC159" s="309"/>
    </row>
    <row r="160" spans="1:29" ht="19.5" hidden="1" customHeight="1">
      <c r="A160" s="382" t="s">
        <v>844</v>
      </c>
      <c r="B160" s="381">
        <f>E86</f>
        <v>111000</v>
      </c>
      <c r="C160" s="390" t="e">
        <f>B160/B164</f>
        <v>#VALUE!</v>
      </c>
      <c r="D160" s="389" t="e">
        <f>B160/B165</f>
        <v>#VALUE!</v>
      </c>
      <c r="E160" s="303"/>
      <c r="F160" s="304"/>
      <c r="G160" s="305"/>
      <c r="H160" s="304"/>
      <c r="I160" s="304"/>
      <c r="J160" s="304"/>
      <c r="K160" s="306"/>
      <c r="L160" s="304"/>
      <c r="M160" s="304"/>
      <c r="N160" s="304"/>
      <c r="O160" s="304"/>
      <c r="P160" s="304"/>
      <c r="Q160" s="199"/>
      <c r="R160" s="199"/>
      <c r="S160" s="199"/>
      <c r="T160" s="199"/>
      <c r="U160" s="199"/>
      <c r="V160" s="199"/>
      <c r="W160" s="199"/>
      <c r="X160" s="199"/>
      <c r="Y160" s="199"/>
      <c r="Z160" s="199"/>
      <c r="AA160" s="199"/>
      <c r="AB160" s="199"/>
      <c r="AC160" s="309"/>
    </row>
    <row r="161" spans="1:29" ht="19.5" hidden="1" customHeight="1">
      <c r="A161" s="382" t="s">
        <v>852</v>
      </c>
      <c r="B161" s="381">
        <f>E97</f>
        <v>349060</v>
      </c>
      <c r="C161" s="390" t="e">
        <f>B161/B164</f>
        <v>#VALUE!</v>
      </c>
      <c r="D161" s="389" t="e">
        <f>B161/B165</f>
        <v>#VALUE!</v>
      </c>
      <c r="E161" s="303"/>
      <c r="F161" s="304"/>
      <c r="G161" s="305"/>
      <c r="H161" s="304"/>
      <c r="I161" s="304"/>
      <c r="J161" s="304"/>
      <c r="K161" s="306"/>
      <c r="L161" s="304"/>
      <c r="M161" s="304"/>
      <c r="N161" s="304"/>
      <c r="O161" s="304"/>
      <c r="P161" s="304"/>
      <c r="Q161" s="199"/>
      <c r="R161" s="199"/>
      <c r="S161" s="199"/>
      <c r="T161" s="199"/>
      <c r="U161" s="199"/>
      <c r="V161" s="199"/>
      <c r="W161" s="199"/>
      <c r="X161" s="199"/>
      <c r="Y161" s="199"/>
      <c r="Z161" s="199"/>
      <c r="AA161" s="199"/>
      <c r="AB161" s="199"/>
      <c r="AC161" s="309"/>
    </row>
    <row r="162" spans="1:29" ht="19.5" hidden="1" customHeight="1">
      <c r="A162" s="382" t="s">
        <v>910</v>
      </c>
      <c r="B162" s="381" t="e">
        <f>E121</f>
        <v>#VALUE!</v>
      </c>
      <c r="C162" s="390" t="e">
        <f>B162/B164</f>
        <v>#VALUE!</v>
      </c>
      <c r="D162" s="389" t="e">
        <f>B162/B165</f>
        <v>#VALUE!</v>
      </c>
      <c r="E162" s="303"/>
      <c r="F162" s="304"/>
      <c r="G162" s="305"/>
      <c r="H162" s="304"/>
      <c r="I162" s="304"/>
      <c r="J162" s="304"/>
      <c r="K162" s="306"/>
      <c r="L162" s="304"/>
      <c r="M162" s="304"/>
      <c r="N162" s="304"/>
      <c r="O162" s="304"/>
      <c r="P162" s="304"/>
      <c r="Q162" s="199"/>
      <c r="R162" s="199"/>
      <c r="S162" s="199"/>
      <c r="T162" s="199"/>
      <c r="U162" s="199"/>
      <c r="V162" s="199"/>
      <c r="W162" s="199"/>
      <c r="X162" s="199"/>
      <c r="Y162" s="199"/>
      <c r="Z162" s="199"/>
      <c r="AA162" s="199"/>
      <c r="AB162" s="199"/>
      <c r="AC162" s="309"/>
    </row>
    <row r="163" spans="1:29" ht="19.5" hidden="1" customHeight="1">
      <c r="A163" s="382" t="s">
        <v>911</v>
      </c>
      <c r="B163" s="381">
        <f t="shared" ref="B163:B164" si="64">E126</f>
        <v>15000</v>
      </c>
      <c r="C163" s="395" t="e">
        <f>B163/B164</f>
        <v>#VALUE!</v>
      </c>
      <c r="D163" s="396" t="e">
        <f>B163/B165</f>
        <v>#VALUE!</v>
      </c>
      <c r="E163" s="303"/>
      <c r="F163" s="304"/>
      <c r="G163" s="305"/>
      <c r="H163" s="304"/>
      <c r="I163" s="304"/>
      <c r="J163" s="304"/>
      <c r="K163" s="306"/>
      <c r="L163" s="304"/>
      <c r="M163" s="304"/>
      <c r="N163" s="304"/>
      <c r="O163" s="304"/>
      <c r="P163" s="304"/>
      <c r="Q163" s="199"/>
      <c r="R163" s="199"/>
      <c r="S163" s="199"/>
      <c r="T163" s="199"/>
      <c r="U163" s="199"/>
      <c r="V163" s="199"/>
      <c r="W163" s="199"/>
      <c r="X163" s="199"/>
      <c r="Y163" s="199"/>
      <c r="Z163" s="199"/>
      <c r="AA163" s="199"/>
      <c r="AB163" s="199"/>
      <c r="AC163" s="309"/>
    </row>
    <row r="164" spans="1:29" ht="19.5" hidden="1" customHeight="1">
      <c r="A164" s="382" t="s">
        <v>912</v>
      </c>
      <c r="B164" s="381" t="e">
        <f t="shared" si="64"/>
        <v>#VALUE!</v>
      </c>
      <c r="C164" s="390"/>
      <c r="D164" s="389" t="e">
        <f>B164/B165</f>
        <v>#VALUE!</v>
      </c>
      <c r="E164" s="303"/>
      <c r="F164" s="304"/>
      <c r="G164" s="305"/>
      <c r="H164" s="304"/>
      <c r="I164" s="304"/>
      <c r="J164" s="304"/>
      <c r="K164" s="306"/>
      <c r="L164" s="304"/>
      <c r="M164" s="304"/>
      <c r="N164" s="304"/>
      <c r="O164" s="304"/>
      <c r="P164" s="304"/>
      <c r="Q164" s="199"/>
      <c r="R164" s="199"/>
      <c r="S164" s="199"/>
      <c r="T164" s="199"/>
      <c r="U164" s="199"/>
      <c r="V164" s="199"/>
      <c r="W164" s="199"/>
      <c r="X164" s="199"/>
      <c r="Y164" s="199"/>
      <c r="Z164" s="199"/>
      <c r="AA164" s="199"/>
      <c r="AB164" s="199"/>
      <c r="AC164" s="309"/>
    </row>
    <row r="165" spans="1:29" ht="19.5" hidden="1" customHeight="1">
      <c r="A165" s="382" t="s">
        <v>913</v>
      </c>
      <c r="B165" s="381" t="e">
        <f>E131</f>
        <v>#VALUE!</v>
      </c>
      <c r="C165" s="390"/>
      <c r="D165" s="390"/>
      <c r="E165" s="391"/>
      <c r="F165" s="392"/>
      <c r="G165" s="393"/>
      <c r="H165" s="392"/>
      <c r="I165" s="392"/>
      <c r="J165" s="392"/>
      <c r="K165" s="394"/>
      <c r="L165" s="392"/>
      <c r="M165" s="392"/>
      <c r="N165" s="392"/>
      <c r="O165" s="392"/>
      <c r="P165" s="392"/>
      <c r="Q165" s="192"/>
      <c r="R165" s="192"/>
      <c r="S165" s="192"/>
      <c r="T165" s="192"/>
      <c r="U165" s="192"/>
      <c r="V165" s="192"/>
      <c r="W165" s="192"/>
      <c r="X165" s="192"/>
      <c r="Y165" s="192"/>
      <c r="Z165" s="192"/>
      <c r="AA165" s="192"/>
      <c r="AB165" s="192"/>
      <c r="AC165" s="309"/>
    </row>
    <row r="166" spans="1:29" ht="12.75" hidden="1" customHeight="1">
      <c r="A166" s="303"/>
      <c r="B166" s="303"/>
      <c r="C166" s="303"/>
      <c r="D166" s="303"/>
      <c r="E166" s="303"/>
      <c r="F166" s="304"/>
      <c r="G166" s="305"/>
      <c r="H166" s="304"/>
      <c r="I166" s="304"/>
      <c r="J166" s="304"/>
      <c r="K166" s="306"/>
      <c r="L166" s="304"/>
      <c r="M166" s="304"/>
      <c r="N166" s="304"/>
      <c r="O166" s="304"/>
      <c r="P166" s="304"/>
      <c r="Q166" s="199"/>
      <c r="R166" s="199"/>
      <c r="S166" s="199"/>
      <c r="T166" s="199"/>
      <c r="U166" s="199"/>
      <c r="V166" s="199"/>
      <c r="W166" s="199"/>
      <c r="X166" s="199"/>
      <c r="Y166" s="199"/>
      <c r="Z166" s="199"/>
      <c r="AA166" s="199"/>
      <c r="AB166" s="199"/>
      <c r="AC166" s="309"/>
    </row>
    <row r="167" spans="1:29" ht="12.75" hidden="1" customHeight="1">
      <c r="A167" s="303"/>
      <c r="B167" s="304"/>
      <c r="C167" s="304"/>
      <c r="D167" s="304"/>
      <c r="E167" s="304"/>
      <c r="F167" s="304"/>
      <c r="G167" s="305"/>
      <c r="H167" s="304"/>
      <c r="I167" s="304"/>
      <c r="J167" s="304"/>
      <c r="K167" s="306"/>
      <c r="L167" s="304"/>
      <c r="M167" s="304"/>
      <c r="N167" s="304"/>
      <c r="O167" s="304"/>
      <c r="P167" s="304"/>
      <c r="Q167" s="199"/>
      <c r="R167" s="199"/>
      <c r="S167" s="199"/>
      <c r="T167" s="199"/>
      <c r="U167" s="199"/>
      <c r="V167" s="199"/>
      <c r="W167" s="199"/>
      <c r="X167" s="199"/>
      <c r="Y167" s="199"/>
      <c r="Z167" s="199"/>
      <c r="AA167" s="199"/>
      <c r="AB167" s="199"/>
      <c r="AC167" s="309"/>
    </row>
    <row r="168" spans="1:29" ht="12.75" hidden="1" customHeight="1">
      <c r="A168" s="303"/>
      <c r="B168" s="304"/>
      <c r="C168" s="304"/>
      <c r="D168" s="304"/>
      <c r="E168" s="304"/>
      <c r="F168" s="304"/>
      <c r="G168" s="305"/>
      <c r="H168" s="304"/>
      <c r="I168" s="304"/>
      <c r="J168" s="304"/>
      <c r="K168" s="306"/>
      <c r="L168" s="304"/>
      <c r="M168" s="304"/>
      <c r="N168" s="304"/>
      <c r="O168" s="304"/>
      <c r="P168" s="304"/>
      <c r="Q168" s="199"/>
      <c r="R168" s="199"/>
      <c r="S168" s="199"/>
      <c r="T168" s="199"/>
      <c r="U168" s="199"/>
      <c r="V168" s="199"/>
      <c r="W168" s="199"/>
      <c r="X168" s="199"/>
      <c r="Y168" s="199"/>
      <c r="Z168" s="199"/>
      <c r="AA168" s="199"/>
      <c r="AB168" s="199"/>
      <c r="AC168" s="309"/>
    </row>
    <row r="169" spans="1:29" ht="12.75" hidden="1" customHeight="1">
      <c r="A169" s="303"/>
      <c r="B169" s="304"/>
      <c r="C169" s="304"/>
      <c r="D169" s="304"/>
      <c r="E169" s="304"/>
      <c r="F169" s="304"/>
      <c r="G169" s="305"/>
      <c r="H169" s="304"/>
      <c r="I169" s="304"/>
      <c r="J169" s="304"/>
      <c r="K169" s="306"/>
      <c r="L169" s="304"/>
      <c r="M169" s="304"/>
      <c r="N169" s="304"/>
      <c r="O169" s="304"/>
      <c r="P169" s="304"/>
      <c r="Q169" s="199"/>
      <c r="R169" s="199"/>
      <c r="S169" s="199"/>
      <c r="T169" s="199"/>
      <c r="U169" s="199"/>
      <c r="V169" s="199"/>
      <c r="W169" s="199"/>
      <c r="X169" s="199"/>
      <c r="Y169" s="199"/>
      <c r="Z169" s="199"/>
      <c r="AA169" s="199"/>
      <c r="AB169" s="199"/>
      <c r="AC169" s="309"/>
    </row>
    <row r="170" spans="1:29" ht="12.75" hidden="1" customHeight="1">
      <c r="A170" s="303"/>
      <c r="B170" s="304"/>
      <c r="C170" s="304"/>
      <c r="D170" s="199"/>
      <c r="E170" s="304"/>
      <c r="F170" s="304"/>
      <c r="G170" s="305"/>
      <c r="H170" s="304"/>
      <c r="I170" s="304"/>
      <c r="J170" s="304"/>
      <c r="K170" s="306"/>
      <c r="L170" s="304"/>
      <c r="M170" s="304"/>
      <c r="N170" s="304"/>
      <c r="O170" s="304"/>
      <c r="P170" s="304"/>
      <c r="Q170" s="199"/>
      <c r="R170" s="199"/>
      <c r="S170" s="199"/>
      <c r="T170" s="199"/>
      <c r="U170" s="199"/>
      <c r="V170" s="199"/>
      <c r="W170" s="199"/>
      <c r="X170" s="199"/>
      <c r="Y170" s="199"/>
      <c r="Z170" s="199"/>
      <c r="AA170" s="199"/>
      <c r="AB170" s="199"/>
      <c r="AC170" s="309"/>
    </row>
    <row r="171" spans="1:29" ht="12.75" hidden="1" customHeight="1">
      <c r="A171" s="303"/>
      <c r="B171" s="304"/>
      <c r="C171" s="304"/>
      <c r="D171" s="199"/>
      <c r="E171" s="304"/>
      <c r="F171" s="304"/>
      <c r="G171" s="305"/>
      <c r="H171" s="304"/>
      <c r="I171" s="304"/>
      <c r="J171" s="304"/>
      <c r="K171" s="306"/>
      <c r="L171" s="304"/>
      <c r="M171" s="304"/>
      <c r="N171" s="304"/>
      <c r="O171" s="304"/>
      <c r="P171" s="304"/>
      <c r="Q171" s="199"/>
      <c r="R171" s="199"/>
      <c r="S171" s="199"/>
      <c r="T171" s="199"/>
      <c r="U171" s="199"/>
      <c r="V171" s="199"/>
      <c r="W171" s="199"/>
      <c r="X171" s="199"/>
      <c r="Y171" s="199"/>
      <c r="Z171" s="199"/>
      <c r="AA171" s="199"/>
      <c r="AB171" s="199"/>
      <c r="AC171" s="309"/>
    </row>
    <row r="172" spans="1:29" ht="12.75" hidden="1" customHeight="1">
      <c r="A172" s="303"/>
      <c r="B172" s="304"/>
      <c r="C172" s="304"/>
      <c r="D172" s="199"/>
      <c r="E172" s="304"/>
      <c r="F172" s="304"/>
      <c r="G172" s="305"/>
      <c r="H172" s="304"/>
      <c r="I172" s="304"/>
      <c r="J172" s="304"/>
      <c r="K172" s="306"/>
      <c r="L172" s="304"/>
      <c r="M172" s="304"/>
      <c r="N172" s="304"/>
      <c r="O172" s="304"/>
      <c r="P172" s="304"/>
      <c r="Q172" s="199"/>
      <c r="R172" s="199"/>
      <c r="S172" s="199"/>
      <c r="T172" s="199"/>
      <c r="U172" s="199"/>
      <c r="V172" s="199"/>
      <c r="W172" s="199"/>
      <c r="X172" s="199"/>
      <c r="Y172" s="199"/>
      <c r="Z172" s="199"/>
      <c r="AA172" s="199"/>
      <c r="AB172" s="199"/>
      <c r="AC172" s="309"/>
    </row>
    <row r="173" spans="1:29" ht="12.75" hidden="1" customHeight="1">
      <c r="A173" s="303"/>
      <c r="B173" s="304"/>
      <c r="C173" s="304"/>
      <c r="D173" s="304"/>
      <c r="E173" s="304"/>
      <c r="F173" s="304"/>
      <c r="G173" s="305"/>
      <c r="H173" s="304"/>
      <c r="I173" s="304"/>
      <c r="J173" s="304"/>
      <c r="K173" s="306"/>
      <c r="L173" s="304"/>
      <c r="M173" s="304"/>
      <c r="N173" s="304"/>
      <c r="O173" s="304"/>
      <c r="P173" s="304"/>
      <c r="Q173" s="199"/>
      <c r="R173" s="199"/>
      <c r="S173" s="199"/>
      <c r="T173" s="199"/>
      <c r="U173" s="199"/>
      <c r="V173" s="199"/>
      <c r="W173" s="199"/>
      <c r="X173" s="199"/>
      <c r="Y173" s="199"/>
      <c r="Z173" s="199"/>
      <c r="AA173" s="199"/>
      <c r="AB173" s="199"/>
      <c r="AC173" s="309"/>
    </row>
    <row r="174" spans="1:29" ht="12.75" hidden="1" customHeight="1">
      <c r="A174" s="303"/>
      <c r="B174" s="304"/>
      <c r="C174" s="304"/>
      <c r="D174" s="304"/>
      <c r="E174" s="304"/>
      <c r="F174" s="304"/>
      <c r="G174" s="305"/>
      <c r="H174" s="304"/>
      <c r="I174" s="304"/>
      <c r="J174" s="304"/>
      <c r="K174" s="306"/>
      <c r="L174" s="304"/>
      <c r="M174" s="304"/>
      <c r="N174" s="304"/>
      <c r="O174" s="304"/>
      <c r="P174" s="304"/>
      <c r="Q174" s="199"/>
      <c r="R174" s="199"/>
      <c r="S174" s="199"/>
      <c r="T174" s="199"/>
      <c r="U174" s="199"/>
      <c r="V174" s="199"/>
      <c r="W174" s="199"/>
      <c r="X174" s="199"/>
      <c r="Y174" s="199"/>
      <c r="Z174" s="199"/>
      <c r="AA174" s="199"/>
      <c r="AB174" s="199"/>
      <c r="AC174" s="309"/>
    </row>
    <row r="175" spans="1:29" ht="12.75" hidden="1" customHeight="1">
      <c r="A175" s="303"/>
      <c r="B175" s="304"/>
      <c r="C175" s="304"/>
      <c r="D175" s="304"/>
      <c r="E175" s="304"/>
      <c r="F175" s="304"/>
      <c r="G175" s="305"/>
      <c r="H175" s="304"/>
      <c r="I175" s="304"/>
      <c r="J175" s="304"/>
      <c r="K175" s="306"/>
      <c r="L175" s="304"/>
      <c r="M175" s="304"/>
      <c r="N175" s="304"/>
      <c r="O175" s="304"/>
      <c r="P175" s="304"/>
      <c r="Q175" s="199"/>
      <c r="R175" s="199"/>
      <c r="S175" s="199"/>
      <c r="T175" s="199"/>
      <c r="U175" s="199"/>
      <c r="V175" s="199"/>
      <c r="W175" s="199"/>
      <c r="X175" s="199"/>
      <c r="Y175" s="199"/>
      <c r="Z175" s="199"/>
      <c r="AA175" s="199"/>
      <c r="AB175" s="199"/>
      <c r="AC175" s="309"/>
    </row>
    <row r="176" spans="1:29" ht="12.75" hidden="1" customHeight="1">
      <c r="A176" s="303"/>
      <c r="B176" s="304"/>
      <c r="C176" s="304"/>
      <c r="D176" s="304"/>
      <c r="E176" s="304"/>
      <c r="F176" s="304"/>
      <c r="G176" s="305"/>
      <c r="H176" s="304"/>
      <c r="I176" s="304"/>
      <c r="J176" s="304"/>
      <c r="K176" s="306"/>
      <c r="L176" s="304"/>
      <c r="M176" s="304"/>
      <c r="N176" s="304"/>
      <c r="O176" s="304"/>
      <c r="P176" s="304"/>
      <c r="Q176" s="199"/>
      <c r="R176" s="199"/>
      <c r="S176" s="199"/>
      <c r="T176" s="199"/>
      <c r="U176" s="199"/>
      <c r="V176" s="199"/>
      <c r="W176" s="199"/>
      <c r="X176" s="199"/>
      <c r="Y176" s="199"/>
      <c r="Z176" s="199"/>
      <c r="AA176" s="199"/>
      <c r="AB176" s="199"/>
      <c r="AC176" s="309"/>
    </row>
    <row r="177" spans="1:29" ht="12.75" hidden="1" customHeight="1">
      <c r="A177" s="303"/>
      <c r="B177" s="304"/>
      <c r="C177" s="304"/>
      <c r="D177" s="304"/>
      <c r="E177" s="304"/>
      <c r="F177" s="304"/>
      <c r="G177" s="305"/>
      <c r="H177" s="304"/>
      <c r="I177" s="304"/>
      <c r="J177" s="304"/>
      <c r="K177" s="306"/>
      <c r="L177" s="304"/>
      <c r="M177" s="304"/>
      <c r="N177" s="304"/>
      <c r="O177" s="304"/>
      <c r="P177" s="304"/>
      <c r="Q177" s="199"/>
      <c r="R177" s="199"/>
      <c r="S177" s="199"/>
      <c r="T177" s="199"/>
      <c r="U177" s="199"/>
      <c r="V177" s="199"/>
      <c r="W177" s="199"/>
      <c r="X177" s="199"/>
      <c r="Y177" s="199"/>
      <c r="Z177" s="199"/>
      <c r="AA177" s="199"/>
      <c r="AB177" s="199"/>
      <c r="AC177" s="309"/>
    </row>
    <row r="178" spans="1:29" ht="12.75" hidden="1" customHeight="1">
      <c r="A178" s="303"/>
      <c r="B178" s="304"/>
      <c r="C178" s="304"/>
      <c r="D178" s="304"/>
      <c r="E178" s="304"/>
      <c r="F178" s="304"/>
      <c r="G178" s="305"/>
      <c r="H178" s="304"/>
      <c r="I178" s="304"/>
      <c r="J178" s="304"/>
      <c r="K178" s="306"/>
      <c r="L178" s="304"/>
      <c r="M178" s="304"/>
      <c r="N178" s="304"/>
      <c r="O178" s="304"/>
      <c r="P178" s="304"/>
      <c r="Q178" s="199"/>
      <c r="R178" s="199"/>
      <c r="S178" s="199"/>
      <c r="T178" s="199"/>
      <c r="U178" s="199"/>
      <c r="V178" s="199"/>
      <c r="W178" s="199"/>
      <c r="X178" s="199"/>
      <c r="Y178" s="199"/>
      <c r="Z178" s="199"/>
      <c r="AA178" s="199"/>
      <c r="AB178" s="199"/>
      <c r="AC178" s="309"/>
    </row>
    <row r="179" spans="1:29" ht="12.75" hidden="1" customHeight="1">
      <c r="A179" s="303"/>
      <c r="B179" s="304"/>
      <c r="C179" s="304"/>
      <c r="D179" s="304"/>
      <c r="E179" s="304"/>
      <c r="F179" s="304"/>
      <c r="G179" s="305"/>
      <c r="H179" s="304"/>
      <c r="I179" s="304"/>
      <c r="J179" s="304"/>
      <c r="K179" s="306"/>
      <c r="L179" s="304"/>
      <c r="M179" s="304"/>
      <c r="N179" s="304"/>
      <c r="O179" s="304"/>
      <c r="P179" s="304"/>
      <c r="Q179" s="199"/>
      <c r="R179" s="199"/>
      <c r="S179" s="199"/>
      <c r="T179" s="199"/>
      <c r="U179" s="199"/>
      <c r="V179" s="199"/>
      <c r="W179" s="199"/>
      <c r="X179" s="199"/>
      <c r="Y179" s="199"/>
      <c r="Z179" s="199"/>
      <c r="AA179" s="199"/>
      <c r="AB179" s="199"/>
      <c r="AC179" s="309"/>
    </row>
    <row r="180" spans="1:29" ht="12.75" hidden="1" customHeight="1">
      <c r="A180" s="303"/>
      <c r="B180" s="304"/>
      <c r="C180" s="304"/>
      <c r="D180" s="304"/>
      <c r="E180" s="304"/>
      <c r="F180" s="304"/>
      <c r="G180" s="305"/>
      <c r="H180" s="304"/>
      <c r="I180" s="304"/>
      <c r="J180" s="304"/>
      <c r="K180" s="306"/>
      <c r="L180" s="304"/>
      <c r="M180" s="304"/>
      <c r="N180" s="304"/>
      <c r="O180" s="304"/>
      <c r="P180" s="304"/>
      <c r="Q180" s="199"/>
      <c r="R180" s="199"/>
      <c r="S180" s="199"/>
      <c r="T180" s="199"/>
      <c r="U180" s="199"/>
      <c r="V180" s="199"/>
      <c r="W180" s="199"/>
      <c r="X180" s="199"/>
      <c r="Y180" s="199"/>
      <c r="Z180" s="199"/>
      <c r="AA180" s="199"/>
      <c r="AB180" s="199"/>
      <c r="AC180" s="309"/>
    </row>
    <row r="181" spans="1:29" ht="12.75" hidden="1" customHeight="1">
      <c r="A181" s="303"/>
      <c r="B181" s="304"/>
      <c r="C181" s="304"/>
      <c r="D181" s="304"/>
      <c r="E181" s="304"/>
      <c r="F181" s="304"/>
      <c r="G181" s="305"/>
      <c r="H181" s="304"/>
      <c r="I181" s="304"/>
      <c r="J181" s="304"/>
      <c r="K181" s="306"/>
      <c r="L181" s="304"/>
      <c r="M181" s="304"/>
      <c r="N181" s="304"/>
      <c r="O181" s="304"/>
      <c r="P181" s="304"/>
      <c r="Q181" s="199"/>
      <c r="R181" s="199"/>
      <c r="S181" s="199"/>
      <c r="T181" s="199"/>
      <c r="U181" s="199"/>
      <c r="V181" s="199"/>
      <c r="W181" s="199"/>
      <c r="X181" s="199"/>
      <c r="Y181" s="199"/>
      <c r="Z181" s="199"/>
      <c r="AA181" s="199"/>
      <c r="AB181" s="199"/>
      <c r="AC181" s="309"/>
    </row>
    <row r="182" spans="1:29" ht="12.75" hidden="1" customHeight="1">
      <c r="A182" s="303"/>
      <c r="B182" s="304"/>
      <c r="C182" s="304"/>
      <c r="D182" s="304"/>
      <c r="E182" s="304"/>
      <c r="F182" s="304"/>
      <c r="G182" s="305"/>
      <c r="H182" s="304"/>
      <c r="I182" s="304"/>
      <c r="J182" s="304"/>
      <c r="K182" s="306"/>
      <c r="L182" s="304"/>
      <c r="M182" s="304"/>
      <c r="N182" s="304"/>
      <c r="O182" s="304"/>
      <c r="P182" s="304"/>
      <c r="Q182" s="199"/>
      <c r="R182" s="199"/>
      <c r="S182" s="199"/>
      <c r="T182" s="199"/>
      <c r="U182" s="199"/>
      <c r="V182" s="199"/>
      <c r="W182" s="199"/>
      <c r="X182" s="199"/>
      <c r="Y182" s="199"/>
      <c r="Z182" s="199"/>
      <c r="AA182" s="199"/>
      <c r="AB182" s="199"/>
      <c r="AC182" s="309"/>
    </row>
    <row r="183" spans="1:29" ht="12.75" hidden="1" customHeight="1">
      <c r="A183" s="303"/>
      <c r="B183" s="304"/>
      <c r="C183" s="304"/>
      <c r="D183" s="304"/>
      <c r="E183" s="304"/>
      <c r="F183" s="304"/>
      <c r="G183" s="305"/>
      <c r="H183" s="304"/>
      <c r="I183" s="304"/>
      <c r="J183" s="304"/>
      <c r="K183" s="306"/>
      <c r="L183" s="304"/>
      <c r="M183" s="304"/>
      <c r="N183" s="304"/>
      <c r="O183" s="304"/>
      <c r="P183" s="304"/>
      <c r="Q183" s="199"/>
      <c r="R183" s="199"/>
      <c r="S183" s="199"/>
      <c r="T183" s="199"/>
      <c r="U183" s="199"/>
      <c r="V183" s="199"/>
      <c r="W183" s="199"/>
      <c r="X183" s="199"/>
      <c r="Y183" s="199"/>
      <c r="Z183" s="199"/>
      <c r="AA183" s="199"/>
      <c r="AB183" s="199"/>
      <c r="AC183" s="309"/>
    </row>
    <row r="184" spans="1:29" ht="12.75" hidden="1" customHeight="1">
      <c r="A184" s="303"/>
      <c r="B184" s="304"/>
      <c r="C184" s="304"/>
      <c r="D184" s="304"/>
      <c r="E184" s="304"/>
      <c r="F184" s="304"/>
      <c r="G184" s="305"/>
      <c r="H184" s="304"/>
      <c r="I184" s="304"/>
      <c r="J184" s="304"/>
      <c r="K184" s="306"/>
      <c r="L184" s="304"/>
      <c r="M184" s="304"/>
      <c r="N184" s="304"/>
      <c r="O184" s="304"/>
      <c r="P184" s="304"/>
      <c r="Q184" s="199"/>
      <c r="R184" s="199"/>
      <c r="S184" s="199"/>
      <c r="T184" s="199"/>
      <c r="U184" s="199"/>
      <c r="V184" s="199"/>
      <c r="W184" s="199"/>
      <c r="X184" s="199"/>
      <c r="Y184" s="199"/>
      <c r="Z184" s="199"/>
      <c r="AA184" s="199"/>
      <c r="AB184" s="199"/>
      <c r="AC184" s="309"/>
    </row>
    <row r="185" spans="1:29" ht="12.75" hidden="1" customHeight="1">
      <c r="A185" s="303"/>
      <c r="B185" s="304"/>
      <c r="C185" s="304"/>
      <c r="D185" s="304"/>
      <c r="E185" s="304"/>
      <c r="F185" s="304"/>
      <c r="G185" s="305"/>
      <c r="H185" s="304"/>
      <c r="I185" s="304"/>
      <c r="J185" s="304"/>
      <c r="K185" s="306"/>
      <c r="L185" s="304"/>
      <c r="M185" s="304"/>
      <c r="N185" s="304"/>
      <c r="O185" s="304"/>
      <c r="P185" s="304"/>
      <c r="Q185" s="199"/>
      <c r="R185" s="199"/>
      <c r="S185" s="199"/>
      <c r="T185" s="199"/>
      <c r="U185" s="199"/>
      <c r="V185" s="199"/>
      <c r="W185" s="199"/>
      <c r="X185" s="199"/>
      <c r="Y185" s="199"/>
      <c r="Z185" s="199"/>
      <c r="AA185" s="199"/>
      <c r="AB185" s="199"/>
      <c r="AC185" s="309"/>
    </row>
    <row r="186" spans="1:29" ht="12.75" hidden="1" customHeight="1">
      <c r="A186" s="303"/>
      <c r="B186" s="304"/>
      <c r="C186" s="304"/>
      <c r="D186" s="304"/>
      <c r="E186" s="304"/>
      <c r="F186" s="304"/>
      <c r="G186" s="305"/>
      <c r="H186" s="304"/>
      <c r="I186" s="304"/>
      <c r="J186" s="304"/>
      <c r="K186" s="306"/>
      <c r="L186" s="304"/>
      <c r="M186" s="304"/>
      <c r="N186" s="304"/>
      <c r="O186" s="304"/>
      <c r="P186" s="304"/>
      <c r="Q186" s="199"/>
      <c r="R186" s="199"/>
      <c r="S186" s="199"/>
      <c r="T186" s="199"/>
      <c r="U186" s="199"/>
      <c r="V186" s="199"/>
      <c r="W186" s="199"/>
      <c r="X186" s="199"/>
      <c r="Y186" s="199"/>
      <c r="Z186" s="199"/>
      <c r="AA186" s="199"/>
      <c r="AB186" s="199"/>
      <c r="AC186" s="309"/>
    </row>
    <row r="187" spans="1:29" ht="12.75" hidden="1" customHeight="1">
      <c r="A187" s="303"/>
      <c r="B187" s="304"/>
      <c r="C187" s="304"/>
      <c r="D187" s="304"/>
      <c r="E187" s="304"/>
      <c r="F187" s="304"/>
      <c r="G187" s="305"/>
      <c r="H187" s="304"/>
      <c r="I187" s="304"/>
      <c r="J187" s="304"/>
      <c r="K187" s="306"/>
      <c r="L187" s="304"/>
      <c r="M187" s="304"/>
      <c r="N187" s="304"/>
      <c r="O187" s="304"/>
      <c r="P187" s="304"/>
      <c r="Q187" s="199"/>
      <c r="R187" s="199"/>
      <c r="S187" s="199"/>
      <c r="T187" s="199"/>
      <c r="U187" s="199"/>
      <c r="V187" s="199"/>
      <c r="W187" s="199"/>
      <c r="X187" s="199"/>
      <c r="Y187" s="199"/>
      <c r="Z187" s="199"/>
      <c r="AA187" s="199"/>
      <c r="AB187" s="199"/>
      <c r="AC187" s="309"/>
    </row>
    <row r="188" spans="1:29" ht="12.75" hidden="1" customHeight="1">
      <c r="A188" s="303"/>
      <c r="B188" s="304"/>
      <c r="C188" s="304"/>
      <c r="D188" s="304"/>
      <c r="E188" s="304"/>
      <c r="F188" s="304"/>
      <c r="G188" s="305"/>
      <c r="H188" s="304"/>
      <c r="I188" s="304"/>
      <c r="J188" s="304"/>
      <c r="K188" s="306"/>
      <c r="L188" s="304"/>
      <c r="M188" s="304"/>
      <c r="N188" s="304"/>
      <c r="O188" s="304"/>
      <c r="P188" s="304"/>
      <c r="Q188" s="199"/>
      <c r="R188" s="199"/>
      <c r="S188" s="199"/>
      <c r="T188" s="199"/>
      <c r="U188" s="199"/>
      <c r="V188" s="199"/>
      <c r="W188" s="199"/>
      <c r="X188" s="199"/>
      <c r="Y188" s="199"/>
      <c r="Z188" s="199"/>
      <c r="AA188" s="199"/>
      <c r="AB188" s="199"/>
      <c r="AC188" s="309"/>
    </row>
    <row r="189" spans="1:29" ht="12.75" hidden="1" customHeight="1">
      <c r="A189" s="303"/>
      <c r="B189" s="304"/>
      <c r="C189" s="304"/>
      <c r="D189" s="304"/>
      <c r="E189" s="304"/>
      <c r="F189" s="304"/>
      <c r="G189" s="305"/>
      <c r="H189" s="304"/>
      <c r="I189" s="304"/>
      <c r="J189" s="304"/>
      <c r="K189" s="306"/>
      <c r="L189" s="304"/>
      <c r="M189" s="304"/>
      <c r="N189" s="304"/>
      <c r="O189" s="304"/>
      <c r="P189" s="304"/>
      <c r="Q189" s="199"/>
      <c r="R189" s="199"/>
      <c r="S189" s="199"/>
      <c r="T189" s="199"/>
      <c r="U189" s="199"/>
      <c r="V189" s="199"/>
      <c r="W189" s="199"/>
      <c r="X189" s="199"/>
      <c r="Y189" s="199"/>
      <c r="Z189" s="199"/>
      <c r="AA189" s="199"/>
      <c r="AB189" s="199"/>
      <c r="AC189" s="309"/>
    </row>
    <row r="190" spans="1:29" ht="12.75" hidden="1" customHeight="1">
      <c r="A190" s="303"/>
      <c r="B190" s="304"/>
      <c r="C190" s="304"/>
      <c r="D190" s="304"/>
      <c r="E190" s="304"/>
      <c r="F190" s="304"/>
      <c r="G190" s="305"/>
      <c r="H190" s="304"/>
      <c r="I190" s="304"/>
      <c r="J190" s="304"/>
      <c r="K190" s="306"/>
      <c r="L190" s="304"/>
      <c r="M190" s="304"/>
      <c r="N190" s="304"/>
      <c r="O190" s="304"/>
      <c r="P190" s="304"/>
      <c r="Q190" s="199"/>
      <c r="R190" s="199"/>
      <c r="S190" s="199"/>
      <c r="T190" s="199"/>
      <c r="U190" s="199"/>
      <c r="V190" s="199"/>
      <c r="W190" s="199"/>
      <c r="X190" s="199"/>
      <c r="Y190" s="199"/>
      <c r="Z190" s="199"/>
      <c r="AA190" s="199"/>
      <c r="AB190" s="199"/>
      <c r="AC190" s="309"/>
    </row>
    <row r="191" spans="1:29" ht="12.75" hidden="1" customHeight="1">
      <c r="A191" s="303"/>
      <c r="B191" s="304"/>
      <c r="C191" s="304"/>
      <c r="D191" s="304"/>
      <c r="E191" s="304"/>
      <c r="F191" s="304"/>
      <c r="G191" s="305"/>
      <c r="H191" s="304"/>
      <c r="I191" s="304"/>
      <c r="J191" s="304"/>
      <c r="K191" s="306"/>
      <c r="L191" s="304"/>
      <c r="M191" s="304"/>
      <c r="N191" s="304"/>
      <c r="O191" s="304"/>
      <c r="P191" s="304"/>
      <c r="Q191" s="199"/>
      <c r="R191" s="199"/>
      <c r="S191" s="199"/>
      <c r="T191" s="199"/>
      <c r="U191" s="199"/>
      <c r="V191" s="199"/>
      <c r="W191" s="199"/>
      <c r="X191" s="199"/>
      <c r="Y191" s="199"/>
      <c r="Z191" s="199"/>
      <c r="AA191" s="199"/>
      <c r="AB191" s="199"/>
      <c r="AC191" s="309"/>
    </row>
    <row r="192" spans="1:29" ht="12.75" hidden="1" customHeight="1">
      <c r="A192" s="303"/>
      <c r="B192" s="304"/>
      <c r="C192" s="304"/>
      <c r="D192" s="304"/>
      <c r="E192" s="304"/>
      <c r="F192" s="304"/>
      <c r="G192" s="305"/>
      <c r="H192" s="304"/>
      <c r="I192" s="304"/>
      <c r="J192" s="304"/>
      <c r="K192" s="306"/>
      <c r="L192" s="304"/>
      <c r="M192" s="304"/>
      <c r="N192" s="304"/>
      <c r="O192" s="304"/>
      <c r="P192" s="304"/>
      <c r="Q192" s="199"/>
      <c r="R192" s="199"/>
      <c r="S192" s="199"/>
      <c r="T192" s="199"/>
      <c r="U192" s="199"/>
      <c r="V192" s="199"/>
      <c r="W192" s="199"/>
      <c r="X192" s="199"/>
      <c r="Y192" s="199"/>
      <c r="Z192" s="199"/>
      <c r="AA192" s="199"/>
      <c r="AB192" s="199"/>
      <c r="AC192" s="309"/>
    </row>
    <row r="193" spans="1:29" ht="12.75" hidden="1" customHeight="1">
      <c r="A193" s="303"/>
      <c r="B193" s="304"/>
      <c r="C193" s="304"/>
      <c r="D193" s="304"/>
      <c r="E193" s="304"/>
      <c r="F193" s="304"/>
      <c r="G193" s="305"/>
      <c r="H193" s="304"/>
      <c r="I193" s="304"/>
      <c r="J193" s="304"/>
      <c r="K193" s="306"/>
      <c r="L193" s="304"/>
      <c r="M193" s="304"/>
      <c r="N193" s="304"/>
      <c r="O193" s="304"/>
      <c r="P193" s="304"/>
      <c r="Q193" s="199"/>
      <c r="R193" s="199"/>
      <c r="S193" s="199"/>
      <c r="T193" s="199"/>
      <c r="U193" s="199"/>
      <c r="V193" s="199"/>
      <c r="W193" s="199"/>
      <c r="X193" s="199"/>
      <c r="Y193" s="199"/>
      <c r="Z193" s="199"/>
      <c r="AA193" s="199"/>
      <c r="AB193" s="199"/>
      <c r="AC193" s="309"/>
    </row>
    <row r="194" spans="1:29" ht="12.75" hidden="1" customHeight="1">
      <c r="A194" s="303"/>
      <c r="B194" s="304"/>
      <c r="C194" s="304"/>
      <c r="D194" s="304"/>
      <c r="E194" s="304"/>
      <c r="F194" s="304"/>
      <c r="G194" s="305"/>
      <c r="H194" s="304"/>
      <c r="I194" s="304"/>
      <c r="J194" s="304"/>
      <c r="K194" s="306"/>
      <c r="L194" s="304"/>
      <c r="M194" s="304"/>
      <c r="N194" s="304"/>
      <c r="O194" s="304"/>
      <c r="P194" s="304"/>
      <c r="Q194" s="199"/>
      <c r="R194" s="199"/>
      <c r="S194" s="199"/>
      <c r="T194" s="199"/>
      <c r="U194" s="199"/>
      <c r="V194" s="199"/>
      <c r="W194" s="199"/>
      <c r="X194" s="199"/>
      <c r="Y194" s="199"/>
      <c r="Z194" s="199"/>
      <c r="AA194" s="199"/>
      <c r="AB194" s="199"/>
      <c r="AC194" s="309"/>
    </row>
    <row r="195" spans="1:29" ht="12.75" hidden="1" customHeight="1">
      <c r="A195" s="303"/>
      <c r="B195" s="304"/>
      <c r="C195" s="304"/>
      <c r="D195" s="304"/>
      <c r="E195" s="304"/>
      <c r="F195" s="304"/>
      <c r="G195" s="305"/>
      <c r="H195" s="304"/>
      <c r="I195" s="304"/>
      <c r="J195" s="304"/>
      <c r="K195" s="306"/>
      <c r="L195" s="304"/>
      <c r="M195" s="304"/>
      <c r="N195" s="304"/>
      <c r="O195" s="304"/>
      <c r="P195" s="304"/>
      <c r="Q195" s="199"/>
      <c r="R195" s="199"/>
      <c r="S195" s="199"/>
      <c r="T195" s="199"/>
      <c r="U195" s="199"/>
      <c r="V195" s="199"/>
      <c r="W195" s="199"/>
      <c r="X195" s="199"/>
      <c r="Y195" s="199"/>
      <c r="Z195" s="199"/>
      <c r="AA195" s="199"/>
      <c r="AB195" s="199"/>
      <c r="AC195" s="309"/>
    </row>
    <row r="196" spans="1:29" ht="12.75" hidden="1" customHeight="1">
      <c r="A196" s="303"/>
      <c r="B196" s="304"/>
      <c r="C196" s="304"/>
      <c r="D196" s="304"/>
      <c r="E196" s="304"/>
      <c r="F196" s="304"/>
      <c r="G196" s="305"/>
      <c r="H196" s="304"/>
      <c r="I196" s="304"/>
      <c r="J196" s="304"/>
      <c r="K196" s="306"/>
      <c r="L196" s="304"/>
      <c r="M196" s="304"/>
      <c r="N196" s="304"/>
      <c r="O196" s="304"/>
      <c r="P196" s="304"/>
      <c r="Q196" s="199"/>
      <c r="R196" s="199"/>
      <c r="S196" s="199"/>
      <c r="T196" s="199"/>
      <c r="U196" s="199"/>
      <c r="V196" s="199"/>
      <c r="W196" s="199"/>
      <c r="X196" s="199"/>
      <c r="Y196" s="199"/>
      <c r="Z196" s="199"/>
      <c r="AA196" s="199"/>
      <c r="AB196" s="199"/>
      <c r="AC196" s="309"/>
    </row>
    <row r="197" spans="1:29" ht="12.75" hidden="1" customHeight="1">
      <c r="A197" s="303"/>
      <c r="B197" s="304"/>
      <c r="C197" s="304"/>
      <c r="D197" s="304"/>
      <c r="E197" s="304"/>
      <c r="F197" s="304"/>
      <c r="G197" s="305"/>
      <c r="H197" s="304"/>
      <c r="I197" s="304"/>
      <c r="J197" s="304"/>
      <c r="K197" s="306"/>
      <c r="L197" s="304"/>
      <c r="M197" s="304"/>
      <c r="N197" s="304"/>
      <c r="O197" s="304"/>
      <c r="P197" s="304"/>
      <c r="Q197" s="199"/>
      <c r="R197" s="199"/>
      <c r="S197" s="199"/>
      <c r="T197" s="199"/>
      <c r="U197" s="199"/>
      <c r="V197" s="199"/>
      <c r="W197" s="199"/>
      <c r="X197" s="199"/>
      <c r="Y197" s="199"/>
      <c r="Z197" s="199"/>
      <c r="AA197" s="199"/>
      <c r="AB197" s="199"/>
      <c r="AC197" s="309"/>
    </row>
    <row r="198" spans="1:29" ht="12.75" hidden="1" customHeight="1">
      <c r="A198" s="303"/>
      <c r="B198" s="304"/>
      <c r="C198" s="304"/>
      <c r="D198" s="304"/>
      <c r="E198" s="304"/>
      <c r="F198" s="304"/>
      <c r="G198" s="305"/>
      <c r="H198" s="304"/>
      <c r="I198" s="304"/>
      <c r="J198" s="304"/>
      <c r="K198" s="306"/>
      <c r="L198" s="304"/>
      <c r="M198" s="304"/>
      <c r="N198" s="304"/>
      <c r="O198" s="304"/>
      <c r="P198" s="304"/>
      <c r="Q198" s="199"/>
      <c r="R198" s="199"/>
      <c r="S198" s="199"/>
      <c r="T198" s="199"/>
      <c r="U198" s="199"/>
      <c r="V198" s="199"/>
      <c r="W198" s="199"/>
      <c r="X198" s="199"/>
      <c r="Y198" s="199"/>
      <c r="Z198" s="199"/>
      <c r="AA198" s="199"/>
      <c r="AB198" s="199"/>
      <c r="AC198" s="309"/>
    </row>
    <row r="199" spans="1:29" ht="12.75" customHeight="1">
      <c r="A199" s="303"/>
      <c r="B199" s="304"/>
      <c r="C199" s="304"/>
      <c r="D199" s="304"/>
      <c r="E199" s="304"/>
      <c r="F199" s="304"/>
      <c r="G199" s="305"/>
      <c r="H199" s="304"/>
      <c r="I199" s="304"/>
      <c r="J199" s="304"/>
      <c r="K199" s="306"/>
      <c r="L199" s="304"/>
      <c r="M199" s="304"/>
      <c r="N199" s="304"/>
      <c r="O199" s="304"/>
      <c r="P199" s="304"/>
      <c r="Q199" s="199"/>
      <c r="R199" s="199"/>
      <c r="S199" s="199"/>
      <c r="T199" s="199"/>
      <c r="U199" s="199"/>
      <c r="V199" s="199"/>
      <c r="W199" s="199"/>
      <c r="X199" s="199"/>
      <c r="Y199" s="199"/>
      <c r="Z199" s="199"/>
      <c r="AA199" s="199"/>
      <c r="AB199" s="199"/>
      <c r="AC199" s="309"/>
    </row>
    <row r="200" spans="1:29" ht="12.75" customHeight="1">
      <c r="A200" s="303"/>
      <c r="B200" s="304"/>
      <c r="C200" s="304"/>
      <c r="D200" s="304"/>
      <c r="E200" s="304"/>
      <c r="F200" s="304"/>
      <c r="G200" s="305"/>
      <c r="H200" s="304"/>
      <c r="I200" s="304"/>
      <c r="J200" s="304"/>
      <c r="K200" s="306"/>
      <c r="L200" s="304"/>
      <c r="M200" s="304"/>
      <c r="N200" s="304"/>
      <c r="O200" s="304"/>
      <c r="P200" s="304"/>
      <c r="Q200" s="199"/>
      <c r="R200" s="199"/>
      <c r="S200" s="199"/>
      <c r="T200" s="199"/>
      <c r="U200" s="199"/>
      <c r="V200" s="199"/>
      <c r="W200" s="199"/>
      <c r="X200" s="199"/>
      <c r="Y200" s="199"/>
      <c r="Z200" s="199"/>
      <c r="AA200" s="199"/>
      <c r="AB200" s="199"/>
      <c r="AC200" s="309"/>
    </row>
    <row r="201" spans="1:29" ht="12.75" customHeight="1">
      <c r="A201" s="303"/>
      <c r="B201" s="304"/>
      <c r="C201" s="304"/>
      <c r="D201" s="304"/>
      <c r="E201" s="304"/>
      <c r="F201" s="304"/>
      <c r="G201" s="305"/>
      <c r="H201" s="304"/>
      <c r="I201" s="304"/>
      <c r="J201" s="304"/>
      <c r="K201" s="306"/>
      <c r="L201" s="304"/>
      <c r="M201" s="304"/>
      <c r="N201" s="304"/>
      <c r="O201" s="304"/>
      <c r="P201" s="304"/>
      <c r="Q201" s="199"/>
      <c r="R201" s="199"/>
      <c r="S201" s="199"/>
      <c r="T201" s="199"/>
      <c r="U201" s="199"/>
      <c r="V201" s="199"/>
      <c r="W201" s="199"/>
      <c r="X201" s="199"/>
      <c r="Y201" s="199"/>
      <c r="Z201" s="199"/>
      <c r="AA201" s="199"/>
      <c r="AB201" s="199"/>
      <c r="AC201" s="309"/>
    </row>
    <row r="202" spans="1:29" ht="12.75" customHeight="1">
      <c r="A202" s="303"/>
      <c r="B202" s="304"/>
      <c r="C202" s="304"/>
      <c r="D202" s="304"/>
      <c r="E202" s="304"/>
      <c r="F202" s="304"/>
      <c r="G202" s="305"/>
      <c r="H202" s="304"/>
      <c r="I202" s="304"/>
      <c r="J202" s="304"/>
      <c r="K202" s="306"/>
      <c r="L202" s="304"/>
      <c r="M202" s="304"/>
      <c r="N202" s="304"/>
      <c r="O202" s="304"/>
      <c r="P202" s="304"/>
      <c r="Q202" s="199"/>
      <c r="R202" s="199"/>
      <c r="S202" s="199"/>
      <c r="T202" s="199"/>
      <c r="U202" s="199"/>
      <c r="V202" s="199"/>
      <c r="W202" s="199"/>
      <c r="X202" s="199"/>
      <c r="Y202" s="199"/>
      <c r="Z202" s="199"/>
      <c r="AA202" s="199"/>
      <c r="AB202" s="199"/>
      <c r="AC202" s="309"/>
    </row>
    <row r="203" spans="1:29" ht="12.75" customHeight="1">
      <c r="A203" s="303"/>
      <c r="B203" s="304"/>
      <c r="C203" s="304"/>
      <c r="D203" s="304"/>
      <c r="E203" s="304"/>
      <c r="F203" s="304"/>
      <c r="G203" s="305"/>
      <c r="H203" s="304"/>
      <c r="I203" s="304"/>
      <c r="J203" s="304"/>
      <c r="K203" s="306"/>
      <c r="L203" s="304"/>
      <c r="M203" s="304"/>
      <c r="N203" s="304"/>
      <c r="O203" s="304"/>
      <c r="P203" s="304"/>
      <c r="Q203" s="199"/>
      <c r="R203" s="199"/>
      <c r="S203" s="199"/>
      <c r="T203" s="199"/>
      <c r="U203" s="199"/>
      <c r="V203" s="199"/>
      <c r="W203" s="199"/>
      <c r="X203" s="199"/>
      <c r="Y203" s="199"/>
      <c r="Z203" s="199"/>
      <c r="AA203" s="199"/>
      <c r="AB203" s="199"/>
      <c r="AC203" s="309"/>
    </row>
    <row r="204" spans="1:29" ht="12.75" customHeight="1">
      <c r="A204" s="303"/>
      <c r="B204" s="304"/>
      <c r="C204" s="304"/>
      <c r="D204" s="304"/>
      <c r="E204" s="304"/>
      <c r="F204" s="304"/>
      <c r="G204" s="305"/>
      <c r="H204" s="304"/>
      <c r="I204" s="304"/>
      <c r="J204" s="304"/>
      <c r="K204" s="306"/>
      <c r="L204" s="304"/>
      <c r="M204" s="304"/>
      <c r="N204" s="304"/>
      <c r="O204" s="304"/>
      <c r="P204" s="304"/>
      <c r="Q204" s="199"/>
      <c r="R204" s="199"/>
      <c r="S204" s="199"/>
      <c r="T204" s="199"/>
      <c r="U204" s="199"/>
      <c r="V204" s="199"/>
      <c r="W204" s="199"/>
      <c r="X204" s="199"/>
      <c r="Y204" s="199"/>
      <c r="Z204" s="199"/>
      <c r="AA204" s="199"/>
      <c r="AB204" s="199"/>
      <c r="AC204" s="309"/>
    </row>
    <row r="205" spans="1:29" ht="12.75" customHeight="1">
      <c r="A205" s="303"/>
      <c r="B205" s="304"/>
      <c r="C205" s="304"/>
      <c r="D205" s="304"/>
      <c r="E205" s="304"/>
      <c r="F205" s="304"/>
      <c r="G205" s="305"/>
      <c r="H205" s="304"/>
      <c r="I205" s="304"/>
      <c r="J205" s="304"/>
      <c r="K205" s="306"/>
      <c r="L205" s="304"/>
      <c r="M205" s="304"/>
      <c r="N205" s="304"/>
      <c r="O205" s="304"/>
      <c r="P205" s="304"/>
      <c r="Q205" s="199"/>
      <c r="R205" s="199"/>
      <c r="S205" s="199"/>
      <c r="T205" s="199"/>
      <c r="U205" s="199"/>
      <c r="V205" s="199"/>
      <c r="W205" s="199"/>
      <c r="X205" s="199"/>
      <c r="Y205" s="199"/>
      <c r="Z205" s="199"/>
      <c r="AA205" s="199"/>
      <c r="AB205" s="199"/>
      <c r="AC205" s="309"/>
    </row>
    <row r="206" spans="1:29" ht="12.75" customHeight="1">
      <c r="A206" s="303"/>
      <c r="B206" s="304"/>
      <c r="C206" s="304"/>
      <c r="D206" s="304"/>
      <c r="E206" s="304"/>
      <c r="F206" s="304"/>
      <c r="G206" s="305"/>
      <c r="H206" s="304"/>
      <c r="I206" s="304"/>
      <c r="J206" s="304"/>
      <c r="K206" s="306"/>
      <c r="L206" s="304"/>
      <c r="M206" s="304"/>
      <c r="N206" s="304"/>
      <c r="O206" s="304"/>
      <c r="P206" s="304"/>
      <c r="Q206" s="199"/>
      <c r="R206" s="199"/>
      <c r="S206" s="199"/>
      <c r="T206" s="199"/>
      <c r="U206" s="199"/>
      <c r="V206" s="199"/>
      <c r="W206" s="199"/>
      <c r="X206" s="199"/>
      <c r="Y206" s="199"/>
      <c r="Z206" s="199"/>
      <c r="AA206" s="199"/>
      <c r="AB206" s="199"/>
      <c r="AC206" s="309"/>
    </row>
    <row r="207" spans="1:29" ht="12.75" customHeight="1">
      <c r="A207" s="303"/>
      <c r="B207" s="304"/>
      <c r="C207" s="304"/>
      <c r="D207" s="304"/>
      <c r="E207" s="304"/>
      <c r="F207" s="304"/>
      <c r="G207" s="305"/>
      <c r="H207" s="304"/>
      <c r="I207" s="304"/>
      <c r="J207" s="304"/>
      <c r="K207" s="306"/>
      <c r="L207" s="304"/>
      <c r="M207" s="304"/>
      <c r="N207" s="304"/>
      <c r="O207" s="304"/>
      <c r="P207" s="304"/>
      <c r="Q207" s="199"/>
      <c r="R207" s="199"/>
      <c r="S207" s="199"/>
      <c r="T207" s="199"/>
      <c r="U207" s="199"/>
      <c r="V207" s="199"/>
      <c r="W207" s="199"/>
      <c r="X207" s="199"/>
      <c r="Y207" s="199"/>
      <c r="Z207" s="199"/>
      <c r="AA207" s="199"/>
      <c r="AB207" s="199"/>
      <c r="AC207" s="309"/>
    </row>
    <row r="208" spans="1:29" ht="12.75" customHeight="1">
      <c r="A208" s="303"/>
      <c r="B208" s="304"/>
      <c r="C208" s="304"/>
      <c r="D208" s="304"/>
      <c r="E208" s="304"/>
      <c r="F208" s="304"/>
      <c r="G208" s="305"/>
      <c r="H208" s="304"/>
      <c r="I208" s="304"/>
      <c r="J208" s="304"/>
      <c r="K208" s="306"/>
      <c r="L208" s="304"/>
      <c r="M208" s="304"/>
      <c r="N208" s="304"/>
      <c r="O208" s="304"/>
      <c r="P208" s="304"/>
      <c r="Q208" s="199"/>
      <c r="R208" s="199"/>
      <c r="S208" s="199"/>
      <c r="T208" s="199"/>
      <c r="U208" s="199"/>
      <c r="V208" s="199"/>
      <c r="W208" s="199"/>
      <c r="X208" s="199"/>
      <c r="Y208" s="199"/>
      <c r="Z208" s="199"/>
      <c r="AA208" s="199"/>
      <c r="AB208" s="199"/>
      <c r="AC208" s="309"/>
    </row>
    <row r="209" spans="1:29" ht="12.75" customHeight="1">
      <c r="A209" s="303"/>
      <c r="B209" s="304"/>
      <c r="C209" s="304"/>
      <c r="D209" s="304"/>
      <c r="E209" s="304"/>
      <c r="F209" s="304"/>
      <c r="G209" s="305"/>
      <c r="H209" s="304"/>
      <c r="I209" s="304"/>
      <c r="J209" s="304"/>
      <c r="K209" s="306"/>
      <c r="L209" s="304"/>
      <c r="M209" s="304"/>
      <c r="N209" s="304"/>
      <c r="O209" s="304"/>
      <c r="P209" s="304"/>
      <c r="Q209" s="199"/>
      <c r="R209" s="199"/>
      <c r="S209" s="199"/>
      <c r="T209" s="199"/>
      <c r="U209" s="199"/>
      <c r="V209" s="199"/>
      <c r="W209" s="199"/>
      <c r="X209" s="199"/>
      <c r="Y209" s="199"/>
      <c r="Z209" s="199"/>
      <c r="AA209" s="199"/>
      <c r="AB209" s="199"/>
      <c r="AC209" s="309"/>
    </row>
    <row r="210" spans="1:29" ht="12.75" customHeight="1">
      <c r="A210" s="303"/>
      <c r="B210" s="304"/>
      <c r="C210" s="304"/>
      <c r="D210" s="304"/>
      <c r="E210" s="304"/>
      <c r="F210" s="304"/>
      <c r="G210" s="305"/>
      <c r="H210" s="304"/>
      <c r="I210" s="304"/>
      <c r="J210" s="304"/>
      <c r="K210" s="306"/>
      <c r="L210" s="304"/>
      <c r="M210" s="304"/>
      <c r="N210" s="304"/>
      <c r="O210" s="304"/>
      <c r="P210" s="304"/>
      <c r="Q210" s="199"/>
      <c r="R210" s="199"/>
      <c r="S210" s="199"/>
      <c r="T210" s="199"/>
      <c r="U210" s="199"/>
      <c r="V210" s="199"/>
      <c r="W210" s="199"/>
      <c r="X210" s="199"/>
      <c r="Y210" s="199"/>
      <c r="Z210" s="199"/>
      <c r="AA210" s="199"/>
      <c r="AB210" s="199"/>
      <c r="AC210" s="309"/>
    </row>
    <row r="211" spans="1:29" ht="12.75" customHeight="1">
      <c r="A211" s="303"/>
      <c r="B211" s="304"/>
      <c r="C211" s="304"/>
      <c r="D211" s="304"/>
      <c r="E211" s="304"/>
      <c r="F211" s="304"/>
      <c r="G211" s="305"/>
      <c r="H211" s="304"/>
      <c r="I211" s="304"/>
      <c r="J211" s="304"/>
      <c r="K211" s="306"/>
      <c r="L211" s="304"/>
      <c r="M211" s="304"/>
      <c r="N211" s="304"/>
      <c r="O211" s="304"/>
      <c r="P211" s="304"/>
      <c r="Q211" s="199"/>
      <c r="R211" s="199"/>
      <c r="S211" s="199"/>
      <c r="T211" s="199"/>
      <c r="U211" s="199"/>
      <c r="V211" s="199"/>
      <c r="W211" s="199"/>
      <c r="X211" s="199"/>
      <c r="Y211" s="199"/>
      <c r="Z211" s="199"/>
      <c r="AA211" s="199"/>
      <c r="AB211" s="199"/>
      <c r="AC211" s="309"/>
    </row>
    <row r="212" spans="1:29" ht="12.75" customHeight="1">
      <c r="A212" s="303"/>
      <c r="B212" s="304"/>
      <c r="C212" s="304"/>
      <c r="D212" s="304"/>
      <c r="E212" s="304"/>
      <c r="F212" s="304"/>
      <c r="G212" s="305"/>
      <c r="H212" s="304"/>
      <c r="I212" s="304"/>
      <c r="J212" s="304"/>
      <c r="K212" s="306"/>
      <c r="L212" s="304"/>
      <c r="M212" s="304"/>
      <c r="N212" s="304"/>
      <c r="O212" s="304"/>
      <c r="P212" s="304"/>
      <c r="Q212" s="199"/>
      <c r="R212" s="199"/>
      <c r="S212" s="199"/>
      <c r="T212" s="199"/>
      <c r="U212" s="199"/>
      <c r="V212" s="199"/>
      <c r="W212" s="199"/>
      <c r="X212" s="199"/>
      <c r="Y212" s="199"/>
      <c r="Z212" s="199"/>
      <c r="AA212" s="199"/>
      <c r="AB212" s="199"/>
      <c r="AC212" s="309"/>
    </row>
    <row r="213" spans="1:29" ht="12.75" customHeight="1">
      <c r="A213" s="303"/>
      <c r="B213" s="304"/>
      <c r="C213" s="304"/>
      <c r="D213" s="304"/>
      <c r="E213" s="304"/>
      <c r="F213" s="304"/>
      <c r="G213" s="305"/>
      <c r="H213" s="304"/>
      <c r="I213" s="304"/>
      <c r="J213" s="304"/>
      <c r="K213" s="306"/>
      <c r="L213" s="304"/>
      <c r="M213" s="304"/>
      <c r="N213" s="304"/>
      <c r="O213" s="304"/>
      <c r="P213" s="304"/>
      <c r="Q213" s="199"/>
      <c r="R213" s="199"/>
      <c r="S213" s="199"/>
      <c r="T213" s="199"/>
      <c r="U213" s="199"/>
      <c r="V213" s="199"/>
      <c r="W213" s="199"/>
      <c r="X213" s="199"/>
      <c r="Y213" s="199"/>
      <c r="Z213" s="199"/>
      <c r="AA213" s="199"/>
      <c r="AB213" s="199"/>
      <c r="AC213" s="309"/>
    </row>
    <row r="214" spans="1:29" ht="12.75" customHeight="1">
      <c r="A214" s="303"/>
      <c r="B214" s="304"/>
      <c r="C214" s="304"/>
      <c r="D214" s="304"/>
      <c r="E214" s="304"/>
      <c r="F214" s="304"/>
      <c r="G214" s="305"/>
      <c r="H214" s="304"/>
      <c r="I214" s="304"/>
      <c r="J214" s="304"/>
      <c r="K214" s="306"/>
      <c r="L214" s="304"/>
      <c r="M214" s="304"/>
      <c r="N214" s="304"/>
      <c r="O214" s="304"/>
      <c r="P214" s="304"/>
      <c r="Q214" s="199"/>
      <c r="R214" s="199"/>
      <c r="S214" s="199"/>
      <c r="T214" s="199"/>
      <c r="U214" s="199"/>
      <c r="V214" s="199"/>
      <c r="W214" s="199"/>
      <c r="X214" s="199"/>
      <c r="Y214" s="199"/>
      <c r="Z214" s="199"/>
      <c r="AA214" s="199"/>
      <c r="AB214" s="199"/>
      <c r="AC214" s="309"/>
    </row>
    <row r="215" spans="1:29" ht="12.75" customHeight="1">
      <c r="A215" s="303"/>
      <c r="B215" s="304"/>
      <c r="C215" s="304"/>
      <c r="D215" s="304"/>
      <c r="E215" s="304"/>
      <c r="F215" s="304"/>
      <c r="G215" s="305"/>
      <c r="H215" s="304"/>
      <c r="I215" s="304"/>
      <c r="J215" s="304"/>
      <c r="K215" s="306"/>
      <c r="L215" s="304"/>
      <c r="M215" s="304"/>
      <c r="N215" s="304"/>
      <c r="O215" s="304"/>
      <c r="P215" s="304"/>
      <c r="Q215" s="199"/>
      <c r="R215" s="199"/>
      <c r="S215" s="199"/>
      <c r="T215" s="199"/>
      <c r="U215" s="199"/>
      <c r="V215" s="199"/>
      <c r="W215" s="199"/>
      <c r="X215" s="199"/>
      <c r="Y215" s="199"/>
      <c r="Z215" s="199"/>
      <c r="AA215" s="199"/>
      <c r="AB215" s="199"/>
      <c r="AC215" s="309"/>
    </row>
    <row r="216" spans="1:29" ht="12.75" customHeight="1">
      <c r="A216" s="303"/>
      <c r="B216" s="304"/>
      <c r="C216" s="304"/>
      <c r="D216" s="304"/>
      <c r="E216" s="304"/>
      <c r="F216" s="304"/>
      <c r="G216" s="305"/>
      <c r="H216" s="304"/>
      <c r="I216" s="304"/>
      <c r="J216" s="304"/>
      <c r="K216" s="306"/>
      <c r="L216" s="304"/>
      <c r="M216" s="304"/>
      <c r="N216" s="304"/>
      <c r="O216" s="304"/>
      <c r="P216" s="304"/>
      <c r="Q216" s="199"/>
      <c r="R216" s="199"/>
      <c r="S216" s="199"/>
      <c r="T216" s="199"/>
      <c r="U216" s="199"/>
      <c r="V216" s="199"/>
      <c r="W216" s="199"/>
      <c r="X216" s="199"/>
      <c r="Y216" s="199"/>
      <c r="Z216" s="199"/>
      <c r="AA216" s="199"/>
      <c r="AB216" s="199"/>
      <c r="AC216" s="309"/>
    </row>
    <row r="217" spans="1:29" ht="12.75" customHeight="1">
      <c r="A217" s="303"/>
      <c r="B217" s="304"/>
      <c r="C217" s="304"/>
      <c r="D217" s="304"/>
      <c r="E217" s="304"/>
      <c r="F217" s="304"/>
      <c r="G217" s="305"/>
      <c r="H217" s="304"/>
      <c r="I217" s="304"/>
      <c r="J217" s="304"/>
      <c r="K217" s="306"/>
      <c r="L217" s="304"/>
      <c r="M217" s="304"/>
      <c r="N217" s="304"/>
      <c r="O217" s="304"/>
      <c r="P217" s="304"/>
      <c r="Q217" s="199"/>
      <c r="R217" s="199"/>
      <c r="S217" s="199"/>
      <c r="T217" s="199"/>
      <c r="U217" s="199"/>
      <c r="V217" s="199"/>
      <c r="W217" s="199"/>
      <c r="X217" s="199"/>
      <c r="Y217" s="199"/>
      <c r="Z217" s="199"/>
      <c r="AA217" s="199"/>
      <c r="AB217" s="199"/>
      <c r="AC217" s="309"/>
    </row>
    <row r="218" spans="1:29" ht="12.75" customHeight="1">
      <c r="A218" s="303"/>
      <c r="B218" s="304"/>
      <c r="C218" s="304"/>
      <c r="D218" s="304"/>
      <c r="E218" s="304"/>
      <c r="F218" s="304"/>
      <c r="G218" s="305"/>
      <c r="H218" s="304"/>
      <c r="I218" s="304"/>
      <c r="J218" s="304"/>
      <c r="K218" s="306"/>
      <c r="L218" s="304"/>
      <c r="M218" s="304"/>
      <c r="N218" s="304"/>
      <c r="O218" s="304"/>
      <c r="P218" s="304"/>
      <c r="Q218" s="199"/>
      <c r="R218" s="199"/>
      <c r="S218" s="199"/>
      <c r="T218" s="199"/>
      <c r="U218" s="199"/>
      <c r="V218" s="199"/>
      <c r="W218" s="199"/>
      <c r="X218" s="199"/>
      <c r="Y218" s="199"/>
      <c r="Z218" s="199"/>
      <c r="AA218" s="199"/>
      <c r="AB218" s="199"/>
      <c r="AC218" s="309"/>
    </row>
    <row r="219" spans="1:29" ht="12.75" customHeight="1">
      <c r="A219" s="303"/>
      <c r="B219" s="304"/>
      <c r="C219" s="304"/>
      <c r="D219" s="304"/>
      <c r="E219" s="304"/>
      <c r="F219" s="304"/>
      <c r="G219" s="305"/>
      <c r="H219" s="304"/>
      <c r="I219" s="304"/>
      <c r="J219" s="304"/>
      <c r="K219" s="306"/>
      <c r="L219" s="304"/>
      <c r="M219" s="304"/>
      <c r="N219" s="304"/>
      <c r="O219" s="304"/>
      <c r="P219" s="304"/>
      <c r="Q219" s="199"/>
      <c r="R219" s="199"/>
      <c r="S219" s="199"/>
      <c r="T219" s="199"/>
      <c r="U219" s="199"/>
      <c r="V219" s="199"/>
      <c r="W219" s="199"/>
      <c r="X219" s="199"/>
      <c r="Y219" s="199"/>
      <c r="Z219" s="199"/>
      <c r="AA219" s="199"/>
      <c r="AB219" s="199"/>
      <c r="AC219" s="309"/>
    </row>
    <row r="220" spans="1:29" ht="12.75" customHeight="1">
      <c r="A220" s="303"/>
      <c r="B220" s="304"/>
      <c r="C220" s="304"/>
      <c r="D220" s="304"/>
      <c r="E220" s="304"/>
      <c r="F220" s="304"/>
      <c r="G220" s="305"/>
      <c r="H220" s="304"/>
      <c r="I220" s="304"/>
      <c r="J220" s="304"/>
      <c r="K220" s="306"/>
      <c r="L220" s="304"/>
      <c r="M220" s="304"/>
      <c r="N220" s="304"/>
      <c r="O220" s="304"/>
      <c r="P220" s="304"/>
      <c r="Q220" s="199"/>
      <c r="R220" s="199"/>
      <c r="S220" s="199"/>
      <c r="T220" s="199"/>
      <c r="U220" s="199"/>
      <c r="V220" s="199"/>
      <c r="W220" s="199"/>
      <c r="X220" s="199"/>
      <c r="Y220" s="199"/>
      <c r="Z220" s="199"/>
      <c r="AA220" s="199"/>
      <c r="AB220" s="199"/>
      <c r="AC220" s="309"/>
    </row>
    <row r="221" spans="1:29" ht="12.75" customHeight="1">
      <c r="A221" s="303"/>
      <c r="B221" s="304"/>
      <c r="C221" s="304"/>
      <c r="D221" s="304"/>
      <c r="E221" s="304"/>
      <c r="F221" s="304"/>
      <c r="G221" s="305"/>
      <c r="H221" s="304"/>
      <c r="I221" s="304"/>
      <c r="J221" s="304"/>
      <c r="K221" s="306"/>
      <c r="L221" s="304"/>
      <c r="M221" s="304"/>
      <c r="N221" s="304"/>
      <c r="O221" s="304"/>
      <c r="P221" s="304"/>
      <c r="Q221" s="199"/>
      <c r="R221" s="199"/>
      <c r="S221" s="199"/>
      <c r="T221" s="199"/>
      <c r="U221" s="199"/>
      <c r="V221" s="199"/>
      <c r="W221" s="199"/>
      <c r="X221" s="199"/>
      <c r="Y221" s="199"/>
      <c r="Z221" s="199"/>
      <c r="AA221" s="199"/>
      <c r="AB221" s="199"/>
      <c r="AC221" s="309"/>
    </row>
    <row r="222" spans="1:29" ht="12.75" customHeight="1">
      <c r="A222" s="303"/>
      <c r="B222" s="304"/>
      <c r="C222" s="304"/>
      <c r="D222" s="304"/>
      <c r="E222" s="304"/>
      <c r="F222" s="304"/>
      <c r="G222" s="305"/>
      <c r="H222" s="304"/>
      <c r="I222" s="304"/>
      <c r="J222" s="304"/>
      <c r="K222" s="306"/>
      <c r="L222" s="304"/>
      <c r="M222" s="304"/>
      <c r="N222" s="304"/>
      <c r="O222" s="304"/>
      <c r="P222" s="304"/>
      <c r="Q222" s="199"/>
      <c r="R222" s="199"/>
      <c r="S222" s="199"/>
      <c r="T222" s="199"/>
      <c r="U222" s="199"/>
      <c r="V222" s="199"/>
      <c r="W222" s="199"/>
      <c r="X222" s="199"/>
      <c r="Y222" s="199"/>
      <c r="Z222" s="199"/>
      <c r="AA222" s="199"/>
      <c r="AB222" s="199"/>
      <c r="AC222" s="309"/>
    </row>
    <row r="223" spans="1:29" ht="12.75" customHeight="1">
      <c r="A223" s="303"/>
      <c r="B223" s="304"/>
      <c r="C223" s="304"/>
      <c r="D223" s="304"/>
      <c r="E223" s="304"/>
      <c r="F223" s="304"/>
      <c r="G223" s="305"/>
      <c r="H223" s="304"/>
      <c r="I223" s="304"/>
      <c r="J223" s="304"/>
      <c r="K223" s="306"/>
      <c r="L223" s="304"/>
      <c r="M223" s="304"/>
      <c r="N223" s="304"/>
      <c r="O223" s="304"/>
      <c r="P223" s="304"/>
      <c r="Q223" s="199"/>
      <c r="R223" s="199"/>
      <c r="S223" s="199"/>
      <c r="T223" s="199"/>
      <c r="U223" s="199"/>
      <c r="V223" s="199"/>
      <c r="W223" s="199"/>
      <c r="X223" s="199"/>
      <c r="Y223" s="199"/>
      <c r="Z223" s="199"/>
      <c r="AA223" s="199"/>
      <c r="AB223" s="199"/>
      <c r="AC223" s="309"/>
    </row>
    <row r="224" spans="1:29" ht="12.75" customHeight="1">
      <c r="A224" s="303"/>
      <c r="B224" s="304"/>
      <c r="C224" s="304"/>
      <c r="D224" s="304"/>
      <c r="E224" s="304"/>
      <c r="F224" s="304"/>
      <c r="G224" s="305"/>
      <c r="H224" s="304"/>
      <c r="I224" s="304"/>
      <c r="J224" s="304"/>
      <c r="K224" s="306"/>
      <c r="L224" s="304"/>
      <c r="M224" s="304"/>
      <c r="N224" s="304"/>
      <c r="O224" s="304"/>
      <c r="P224" s="304"/>
      <c r="Q224" s="199"/>
      <c r="R224" s="199"/>
      <c r="S224" s="199"/>
      <c r="T224" s="199"/>
      <c r="U224" s="199"/>
      <c r="V224" s="199"/>
      <c r="W224" s="199"/>
      <c r="X224" s="199"/>
      <c r="Y224" s="199"/>
      <c r="Z224" s="199"/>
      <c r="AA224" s="199"/>
      <c r="AB224" s="199"/>
      <c r="AC224" s="309"/>
    </row>
    <row r="225" spans="1:29" ht="12.75" customHeight="1">
      <c r="A225" s="303"/>
      <c r="B225" s="304"/>
      <c r="C225" s="304"/>
      <c r="D225" s="304"/>
      <c r="E225" s="304"/>
      <c r="F225" s="304"/>
      <c r="G225" s="305"/>
      <c r="H225" s="304"/>
      <c r="I225" s="304"/>
      <c r="J225" s="304"/>
      <c r="K225" s="306"/>
      <c r="L225" s="304"/>
      <c r="M225" s="304"/>
      <c r="N225" s="304"/>
      <c r="O225" s="304"/>
      <c r="P225" s="304"/>
      <c r="Q225" s="199"/>
      <c r="R225" s="199"/>
      <c r="S225" s="199"/>
      <c r="T225" s="199"/>
      <c r="U225" s="199"/>
      <c r="V225" s="199"/>
      <c r="W225" s="199"/>
      <c r="X225" s="199"/>
      <c r="Y225" s="199"/>
      <c r="Z225" s="199"/>
      <c r="AA225" s="199"/>
      <c r="AB225" s="199"/>
      <c r="AC225" s="309"/>
    </row>
    <row r="226" spans="1:29" ht="12.75" customHeight="1">
      <c r="A226" s="303"/>
      <c r="B226" s="304"/>
      <c r="C226" s="304"/>
      <c r="D226" s="304"/>
      <c r="E226" s="304"/>
      <c r="F226" s="304"/>
      <c r="G226" s="305"/>
      <c r="H226" s="304"/>
      <c r="I226" s="304"/>
      <c r="J226" s="304"/>
      <c r="K226" s="306"/>
      <c r="L226" s="304"/>
      <c r="M226" s="304"/>
      <c r="N226" s="304"/>
      <c r="O226" s="304"/>
      <c r="P226" s="304"/>
      <c r="Q226" s="199"/>
      <c r="R226" s="199"/>
      <c r="S226" s="199"/>
      <c r="T226" s="199"/>
      <c r="U226" s="199"/>
      <c r="V226" s="199"/>
      <c r="W226" s="199"/>
      <c r="X226" s="199"/>
      <c r="Y226" s="199"/>
      <c r="Z226" s="199"/>
      <c r="AA226" s="199"/>
      <c r="AB226" s="199"/>
      <c r="AC226" s="309"/>
    </row>
    <row r="227" spans="1:29" ht="12.75" customHeight="1">
      <c r="A227" s="303"/>
      <c r="B227" s="304"/>
      <c r="C227" s="304"/>
      <c r="D227" s="304"/>
      <c r="E227" s="304"/>
      <c r="F227" s="304"/>
      <c r="G227" s="305"/>
      <c r="H227" s="304"/>
      <c r="I227" s="304"/>
      <c r="J227" s="304"/>
      <c r="K227" s="306"/>
      <c r="L227" s="304"/>
      <c r="M227" s="304"/>
      <c r="N227" s="304"/>
      <c r="O227" s="304"/>
      <c r="P227" s="304"/>
      <c r="Q227" s="199"/>
      <c r="R227" s="199"/>
      <c r="S227" s="199"/>
      <c r="T227" s="199"/>
      <c r="U227" s="199"/>
      <c r="V227" s="199"/>
      <c r="W227" s="199"/>
      <c r="X227" s="199"/>
      <c r="Y227" s="199"/>
      <c r="Z227" s="199"/>
      <c r="AA227" s="199"/>
      <c r="AB227" s="199"/>
      <c r="AC227" s="309"/>
    </row>
    <row r="228" spans="1:29" ht="12.75" customHeight="1">
      <c r="A228" s="303"/>
      <c r="B228" s="304"/>
      <c r="C228" s="304"/>
      <c r="D228" s="304"/>
      <c r="E228" s="304"/>
      <c r="F228" s="304"/>
      <c r="G228" s="305"/>
      <c r="H228" s="304"/>
      <c r="I228" s="304"/>
      <c r="J228" s="304"/>
      <c r="K228" s="306"/>
      <c r="L228" s="304"/>
      <c r="M228" s="304"/>
      <c r="N228" s="304"/>
      <c r="O228" s="304"/>
      <c r="P228" s="304"/>
      <c r="Q228" s="199"/>
      <c r="R228" s="199"/>
      <c r="S228" s="199"/>
      <c r="T228" s="199"/>
      <c r="U228" s="199"/>
      <c r="V228" s="199"/>
      <c r="W228" s="199"/>
      <c r="X228" s="199"/>
      <c r="Y228" s="199"/>
      <c r="Z228" s="199"/>
      <c r="AA228" s="199"/>
      <c r="AB228" s="199"/>
      <c r="AC228" s="309"/>
    </row>
    <row r="229" spans="1:29" ht="12.75" customHeight="1">
      <c r="A229" s="303"/>
      <c r="B229" s="304"/>
      <c r="C229" s="304"/>
      <c r="D229" s="304"/>
      <c r="E229" s="304"/>
      <c r="F229" s="304"/>
      <c r="G229" s="305"/>
      <c r="H229" s="304"/>
      <c r="I229" s="304"/>
      <c r="J229" s="304"/>
      <c r="K229" s="306"/>
      <c r="L229" s="304"/>
      <c r="M229" s="304"/>
      <c r="N229" s="304"/>
      <c r="O229" s="304"/>
      <c r="P229" s="304"/>
      <c r="Q229" s="199"/>
      <c r="R229" s="199"/>
      <c r="S229" s="199"/>
      <c r="T229" s="199"/>
      <c r="U229" s="199"/>
      <c r="V229" s="199"/>
      <c r="W229" s="199"/>
      <c r="X229" s="199"/>
      <c r="Y229" s="199"/>
      <c r="Z229" s="199"/>
      <c r="AA229" s="199"/>
      <c r="AB229" s="199"/>
      <c r="AC229" s="309"/>
    </row>
    <row r="230" spans="1:29" ht="12.75" hidden="1" customHeight="1">
      <c r="A230" s="303"/>
      <c r="B230" s="304"/>
      <c r="C230" s="304"/>
      <c r="D230" s="304"/>
      <c r="E230" s="304"/>
      <c r="F230" s="304"/>
      <c r="G230" s="305"/>
      <c r="H230" s="304"/>
      <c r="I230" s="304"/>
      <c r="J230" s="304"/>
      <c r="K230" s="306"/>
      <c r="L230" s="304"/>
      <c r="M230" s="304"/>
      <c r="N230" s="304"/>
      <c r="O230" s="304"/>
      <c r="P230" s="304"/>
      <c r="Q230" s="199"/>
      <c r="R230" s="199"/>
      <c r="S230" s="199"/>
      <c r="T230" s="199"/>
      <c r="U230" s="199"/>
      <c r="V230" s="199"/>
      <c r="W230" s="199"/>
      <c r="X230" s="199"/>
      <c r="Y230" s="199"/>
      <c r="Z230" s="199"/>
      <c r="AA230" s="199"/>
      <c r="AB230" s="199"/>
      <c r="AC230" s="309"/>
    </row>
    <row r="231" spans="1:29" ht="12.75" customHeight="1">
      <c r="A231" s="303"/>
      <c r="B231" s="304"/>
      <c r="C231" s="304"/>
      <c r="D231" s="304"/>
      <c r="E231" s="304"/>
      <c r="F231" s="304"/>
      <c r="G231" s="305"/>
      <c r="H231" s="304"/>
      <c r="I231" s="304"/>
      <c r="J231" s="304"/>
      <c r="K231" s="306"/>
      <c r="L231" s="304"/>
      <c r="M231" s="304"/>
      <c r="N231" s="304"/>
      <c r="O231" s="304"/>
      <c r="P231" s="304"/>
      <c r="Q231" s="199"/>
      <c r="R231" s="199"/>
      <c r="S231" s="199"/>
      <c r="T231" s="199"/>
      <c r="U231" s="199"/>
      <c r="V231" s="199"/>
      <c r="W231" s="199"/>
      <c r="X231" s="199"/>
      <c r="Y231" s="199"/>
      <c r="Z231" s="199"/>
      <c r="AA231" s="199"/>
      <c r="AB231" s="199"/>
      <c r="AC231" s="309"/>
    </row>
    <row r="232" spans="1:29" ht="12.75" customHeight="1">
      <c r="A232" s="303"/>
      <c r="B232" s="304"/>
      <c r="C232" s="304"/>
      <c r="D232" s="304"/>
      <c r="E232" s="304"/>
      <c r="F232" s="304"/>
      <c r="G232" s="305"/>
      <c r="H232" s="304"/>
      <c r="I232" s="304"/>
      <c r="J232" s="304"/>
      <c r="K232" s="306"/>
      <c r="L232" s="304"/>
      <c r="M232" s="304"/>
      <c r="N232" s="304"/>
      <c r="O232" s="304"/>
      <c r="P232" s="304"/>
      <c r="Q232" s="199"/>
      <c r="R232" s="199"/>
      <c r="S232" s="199"/>
      <c r="T232" s="199"/>
      <c r="U232" s="199"/>
      <c r="V232" s="199"/>
      <c r="W232" s="199"/>
      <c r="X232" s="199"/>
      <c r="Y232" s="199"/>
      <c r="Z232" s="199"/>
      <c r="AA232" s="199"/>
      <c r="AB232" s="199"/>
      <c r="AC232" s="309"/>
    </row>
    <row r="233" spans="1:29" ht="12.75" customHeight="1">
      <c r="A233" s="303"/>
      <c r="B233" s="304"/>
      <c r="C233" s="304"/>
      <c r="D233" s="304"/>
      <c r="E233" s="304"/>
      <c r="F233" s="304"/>
      <c r="G233" s="305"/>
      <c r="H233" s="304"/>
      <c r="I233" s="304"/>
      <c r="J233" s="304"/>
      <c r="K233" s="306"/>
      <c r="L233" s="304"/>
      <c r="M233" s="304"/>
      <c r="N233" s="304"/>
      <c r="O233" s="304"/>
      <c r="P233" s="304"/>
      <c r="Q233" s="199"/>
      <c r="R233" s="199"/>
      <c r="S233" s="199"/>
      <c r="T233" s="199"/>
      <c r="U233" s="199"/>
      <c r="V233" s="199"/>
      <c r="W233" s="199"/>
      <c r="X233" s="199"/>
      <c r="Y233" s="199"/>
      <c r="Z233" s="199"/>
      <c r="AA233" s="199"/>
      <c r="AB233" s="199"/>
      <c r="AC233" s="309"/>
    </row>
    <row r="234" spans="1:29" ht="12.75" customHeight="1">
      <c r="A234" s="303"/>
      <c r="B234" s="304"/>
      <c r="C234" s="304"/>
      <c r="D234" s="304"/>
      <c r="E234" s="304"/>
      <c r="F234" s="304"/>
      <c r="G234" s="305"/>
      <c r="H234" s="304"/>
      <c r="I234" s="304"/>
      <c r="J234" s="304"/>
      <c r="K234" s="306"/>
      <c r="L234" s="304"/>
      <c r="M234" s="304"/>
      <c r="N234" s="304"/>
      <c r="O234" s="304"/>
      <c r="P234" s="304"/>
      <c r="Q234" s="199"/>
      <c r="R234" s="199"/>
      <c r="S234" s="199"/>
      <c r="T234" s="199"/>
      <c r="U234" s="199"/>
      <c r="V234" s="199"/>
      <c r="W234" s="199"/>
      <c r="X234" s="199"/>
      <c r="Y234" s="199"/>
      <c r="Z234" s="199"/>
      <c r="AA234" s="199"/>
      <c r="AB234" s="199"/>
      <c r="AC234" s="309"/>
    </row>
    <row r="235" spans="1:29" ht="12.75" customHeight="1">
      <c r="A235" s="303"/>
      <c r="B235" s="304"/>
      <c r="C235" s="304"/>
      <c r="D235" s="304"/>
      <c r="E235" s="304"/>
      <c r="F235" s="304"/>
      <c r="G235" s="305"/>
      <c r="H235" s="304"/>
      <c r="I235" s="304"/>
      <c r="J235" s="304"/>
      <c r="K235" s="306"/>
      <c r="L235" s="304"/>
      <c r="M235" s="304"/>
      <c r="N235" s="304"/>
      <c r="O235" s="304"/>
      <c r="P235" s="304"/>
      <c r="Q235" s="199"/>
      <c r="R235" s="199"/>
      <c r="S235" s="199"/>
      <c r="T235" s="199"/>
      <c r="U235" s="199"/>
      <c r="V235" s="199"/>
      <c r="W235" s="199"/>
      <c r="X235" s="199"/>
      <c r="Y235" s="199"/>
      <c r="Z235" s="199"/>
      <c r="AA235" s="199"/>
      <c r="AB235" s="199"/>
      <c r="AC235" s="309"/>
    </row>
    <row r="236" spans="1:29" ht="12.75" customHeight="1">
      <c r="A236" s="303"/>
      <c r="B236" s="304"/>
      <c r="C236" s="304"/>
      <c r="D236" s="304"/>
      <c r="E236" s="304"/>
      <c r="F236" s="304"/>
      <c r="G236" s="305"/>
      <c r="H236" s="304"/>
      <c r="I236" s="304"/>
      <c r="J236" s="304"/>
      <c r="K236" s="306"/>
      <c r="L236" s="304"/>
      <c r="M236" s="304"/>
      <c r="N236" s="304"/>
      <c r="O236" s="304"/>
      <c r="P236" s="304"/>
      <c r="Q236" s="199"/>
      <c r="R236" s="199"/>
      <c r="S236" s="199"/>
      <c r="T236" s="199"/>
      <c r="U236" s="199"/>
      <c r="V236" s="199"/>
      <c r="W236" s="199"/>
      <c r="X236" s="199"/>
      <c r="Y236" s="199"/>
      <c r="Z236" s="199"/>
      <c r="AA236" s="199"/>
      <c r="AB236" s="199"/>
      <c r="AC236" s="309"/>
    </row>
    <row r="237" spans="1:29" ht="12.75" customHeight="1">
      <c r="A237" s="303"/>
      <c r="B237" s="304"/>
      <c r="C237" s="304"/>
      <c r="D237" s="304"/>
      <c r="E237" s="304"/>
      <c r="F237" s="304"/>
      <c r="G237" s="305"/>
      <c r="H237" s="304"/>
      <c r="I237" s="304"/>
      <c r="J237" s="304"/>
      <c r="K237" s="306"/>
      <c r="L237" s="304"/>
      <c r="M237" s="304"/>
      <c r="N237" s="304"/>
      <c r="O237" s="304"/>
      <c r="P237" s="304"/>
      <c r="Q237" s="199"/>
      <c r="R237" s="199"/>
      <c r="S237" s="199"/>
      <c r="T237" s="199"/>
      <c r="U237" s="199"/>
      <c r="V237" s="199"/>
      <c r="W237" s="199"/>
      <c r="X237" s="199"/>
      <c r="Y237" s="199"/>
      <c r="Z237" s="199"/>
      <c r="AA237" s="199"/>
      <c r="AB237" s="199"/>
      <c r="AC237" s="309"/>
    </row>
    <row r="238" spans="1:29" ht="12.75" customHeight="1">
      <c r="A238" s="303"/>
      <c r="B238" s="304"/>
      <c r="C238" s="304"/>
      <c r="D238" s="304"/>
      <c r="E238" s="304"/>
      <c r="F238" s="304"/>
      <c r="G238" s="305"/>
      <c r="H238" s="304"/>
      <c r="I238" s="304"/>
      <c r="J238" s="304"/>
      <c r="K238" s="306"/>
      <c r="L238" s="304"/>
      <c r="M238" s="304"/>
      <c r="N238" s="304"/>
      <c r="O238" s="304"/>
      <c r="P238" s="304"/>
      <c r="Q238" s="199"/>
      <c r="R238" s="199"/>
      <c r="S238" s="199"/>
      <c r="T238" s="199"/>
      <c r="U238" s="199"/>
      <c r="V238" s="199"/>
      <c r="W238" s="199"/>
      <c r="X238" s="199"/>
      <c r="Y238" s="199"/>
      <c r="Z238" s="199"/>
      <c r="AA238" s="199"/>
      <c r="AB238" s="199"/>
      <c r="AC238" s="309"/>
    </row>
    <row r="239" spans="1:29" ht="12.75" customHeight="1">
      <c r="A239" s="303"/>
      <c r="B239" s="304"/>
      <c r="C239" s="304"/>
      <c r="D239" s="304"/>
      <c r="E239" s="304"/>
      <c r="F239" s="304"/>
      <c r="G239" s="305"/>
      <c r="H239" s="304"/>
      <c r="I239" s="304"/>
      <c r="J239" s="304"/>
      <c r="K239" s="306"/>
      <c r="L239" s="304"/>
      <c r="M239" s="304"/>
      <c r="N239" s="304"/>
      <c r="O239" s="304"/>
      <c r="P239" s="304"/>
      <c r="Q239" s="199"/>
      <c r="R239" s="199"/>
      <c r="S239" s="199"/>
      <c r="T239" s="199"/>
      <c r="U239" s="199"/>
      <c r="V239" s="199"/>
      <c r="W239" s="199"/>
      <c r="X239" s="199"/>
      <c r="Y239" s="199"/>
      <c r="Z239" s="199"/>
      <c r="AA239" s="199"/>
      <c r="AB239" s="199"/>
      <c r="AC239" s="309"/>
    </row>
    <row r="240" spans="1:29" ht="12.75" customHeight="1">
      <c r="A240" s="303"/>
      <c r="B240" s="304"/>
      <c r="C240" s="304"/>
      <c r="D240" s="304"/>
      <c r="E240" s="304"/>
      <c r="F240" s="304"/>
      <c r="G240" s="305"/>
      <c r="H240" s="304"/>
      <c r="I240" s="304"/>
      <c r="J240" s="304"/>
      <c r="K240" s="306"/>
      <c r="L240" s="304"/>
      <c r="M240" s="304"/>
      <c r="N240" s="304"/>
      <c r="O240" s="304"/>
      <c r="P240" s="304"/>
      <c r="Q240" s="199"/>
      <c r="R240" s="199"/>
      <c r="S240" s="199"/>
      <c r="T240" s="199"/>
      <c r="U240" s="199"/>
      <c r="V240" s="199"/>
      <c r="W240" s="199"/>
      <c r="X240" s="199"/>
      <c r="Y240" s="199"/>
      <c r="Z240" s="199"/>
      <c r="AA240" s="199"/>
      <c r="AB240" s="199"/>
      <c r="AC240" s="309"/>
    </row>
    <row r="241" spans="1:29" ht="12.75" customHeight="1">
      <c r="A241" s="303"/>
      <c r="B241" s="304"/>
      <c r="C241" s="304"/>
      <c r="D241" s="304"/>
      <c r="E241" s="304"/>
      <c r="F241" s="304"/>
      <c r="G241" s="305"/>
      <c r="H241" s="304"/>
      <c r="I241" s="304"/>
      <c r="J241" s="304"/>
      <c r="K241" s="306"/>
      <c r="L241" s="304"/>
      <c r="M241" s="304"/>
      <c r="N241" s="304"/>
      <c r="O241" s="304"/>
      <c r="P241" s="304"/>
      <c r="Q241" s="199"/>
      <c r="R241" s="199"/>
      <c r="S241" s="199"/>
      <c r="T241" s="199"/>
      <c r="U241" s="199"/>
      <c r="V241" s="199"/>
      <c r="W241" s="199"/>
      <c r="X241" s="199"/>
      <c r="Y241" s="199"/>
      <c r="Z241" s="199"/>
      <c r="AA241" s="199"/>
      <c r="AB241" s="199"/>
      <c r="AC241" s="309"/>
    </row>
    <row r="242" spans="1:29" ht="12.75" customHeight="1">
      <c r="A242" s="303"/>
      <c r="B242" s="304"/>
      <c r="C242" s="304"/>
      <c r="D242" s="304"/>
      <c r="E242" s="304"/>
      <c r="F242" s="304"/>
      <c r="G242" s="305"/>
      <c r="H242" s="304"/>
      <c r="I242" s="304"/>
      <c r="J242" s="304"/>
      <c r="K242" s="306"/>
      <c r="L242" s="304"/>
      <c r="M242" s="304"/>
      <c r="N242" s="304"/>
      <c r="O242" s="304"/>
      <c r="P242" s="304"/>
      <c r="Q242" s="199"/>
      <c r="R242" s="199"/>
      <c r="S242" s="199"/>
      <c r="T242" s="199"/>
      <c r="U242" s="199"/>
      <c r="V242" s="199"/>
      <c r="W242" s="199"/>
      <c r="X242" s="199"/>
      <c r="Y242" s="199"/>
      <c r="Z242" s="199"/>
      <c r="AA242" s="199"/>
      <c r="AB242" s="199"/>
      <c r="AC242" s="309"/>
    </row>
    <row r="243" spans="1:29" ht="12.75" customHeight="1">
      <c r="A243" s="303"/>
      <c r="B243" s="304"/>
      <c r="C243" s="304"/>
      <c r="D243" s="304"/>
      <c r="E243" s="304"/>
      <c r="F243" s="304"/>
      <c r="G243" s="305"/>
      <c r="H243" s="304"/>
      <c r="I243" s="304"/>
      <c r="J243" s="304"/>
      <c r="K243" s="306"/>
      <c r="L243" s="304"/>
      <c r="M243" s="304"/>
      <c r="N243" s="304"/>
      <c r="O243" s="304"/>
      <c r="P243" s="304"/>
      <c r="Q243" s="199"/>
      <c r="R243" s="199"/>
      <c r="S243" s="199"/>
      <c r="T243" s="199"/>
      <c r="U243" s="199"/>
      <c r="V243" s="199"/>
      <c r="W243" s="199"/>
      <c r="X243" s="199"/>
      <c r="Y243" s="199"/>
      <c r="Z243" s="199"/>
      <c r="AA243" s="199"/>
      <c r="AB243" s="199"/>
      <c r="AC243" s="309"/>
    </row>
    <row r="244" spans="1:29" ht="12.75" customHeight="1">
      <c r="A244" s="303"/>
      <c r="B244" s="304"/>
      <c r="C244" s="304"/>
      <c r="D244" s="304"/>
      <c r="E244" s="304"/>
      <c r="F244" s="304"/>
      <c r="G244" s="305"/>
      <c r="H244" s="304"/>
      <c r="I244" s="304"/>
      <c r="J244" s="304"/>
      <c r="K244" s="306"/>
      <c r="L244" s="304"/>
      <c r="M244" s="304"/>
      <c r="N244" s="304"/>
      <c r="O244" s="304"/>
      <c r="P244" s="304"/>
      <c r="Q244" s="199"/>
      <c r="R244" s="199"/>
      <c r="S244" s="199"/>
      <c r="T244" s="199"/>
      <c r="U244" s="199"/>
      <c r="V244" s="199"/>
      <c r="W244" s="199"/>
      <c r="X244" s="199"/>
      <c r="Y244" s="199"/>
      <c r="Z244" s="199"/>
      <c r="AA244" s="199"/>
      <c r="AB244" s="199"/>
      <c r="AC244" s="309"/>
    </row>
    <row r="245" spans="1:29" ht="12.75" customHeight="1">
      <c r="A245" s="303"/>
      <c r="B245" s="304"/>
      <c r="C245" s="304"/>
      <c r="D245" s="304"/>
      <c r="E245" s="304"/>
      <c r="F245" s="304"/>
      <c r="G245" s="305"/>
      <c r="H245" s="304"/>
      <c r="I245" s="304"/>
      <c r="J245" s="304"/>
      <c r="K245" s="306"/>
      <c r="L245" s="304"/>
      <c r="M245" s="304"/>
      <c r="N245" s="304"/>
      <c r="O245" s="304"/>
      <c r="P245" s="304"/>
      <c r="Q245" s="199"/>
      <c r="R245" s="199"/>
      <c r="S245" s="199"/>
      <c r="T245" s="199"/>
      <c r="U245" s="199"/>
      <c r="V245" s="199"/>
      <c r="W245" s="199"/>
      <c r="X245" s="199"/>
      <c r="Y245" s="199"/>
      <c r="Z245" s="199"/>
      <c r="AA245" s="199"/>
      <c r="AB245" s="199"/>
      <c r="AC245" s="309"/>
    </row>
    <row r="246" spans="1:29" ht="12.75" customHeight="1">
      <c r="A246" s="303"/>
      <c r="B246" s="304"/>
      <c r="C246" s="304"/>
      <c r="D246" s="304"/>
      <c r="E246" s="304"/>
      <c r="F246" s="304"/>
      <c r="G246" s="305"/>
      <c r="H246" s="304"/>
      <c r="I246" s="304"/>
      <c r="J246" s="304"/>
      <c r="K246" s="306"/>
      <c r="L246" s="304"/>
      <c r="M246" s="304"/>
      <c r="N246" s="304"/>
      <c r="O246" s="304"/>
      <c r="P246" s="304"/>
      <c r="Q246" s="199"/>
      <c r="R246" s="199"/>
      <c r="S246" s="199"/>
      <c r="T246" s="199"/>
      <c r="U246" s="199"/>
      <c r="V246" s="199"/>
      <c r="W246" s="199"/>
      <c r="X246" s="199"/>
      <c r="Y246" s="199"/>
      <c r="Z246" s="199"/>
      <c r="AA246" s="199"/>
      <c r="AB246" s="199"/>
      <c r="AC246" s="309"/>
    </row>
    <row r="247" spans="1:29" ht="12.75" customHeight="1">
      <c r="A247" s="303"/>
      <c r="B247" s="304"/>
      <c r="C247" s="304"/>
      <c r="D247" s="304"/>
      <c r="E247" s="304"/>
      <c r="F247" s="304"/>
      <c r="G247" s="305"/>
      <c r="H247" s="304"/>
      <c r="I247" s="304"/>
      <c r="J247" s="304"/>
      <c r="K247" s="306"/>
      <c r="L247" s="304"/>
      <c r="M247" s="304"/>
      <c r="N247" s="304"/>
      <c r="O247" s="304"/>
      <c r="P247" s="304"/>
      <c r="Q247" s="199"/>
      <c r="R247" s="199"/>
      <c r="S247" s="199"/>
      <c r="T247" s="199"/>
      <c r="U247" s="199"/>
      <c r="V247" s="199"/>
      <c r="W247" s="199"/>
      <c r="X247" s="199"/>
      <c r="Y247" s="199"/>
      <c r="Z247" s="199"/>
      <c r="AA247" s="199"/>
      <c r="AB247" s="199"/>
      <c r="AC247" s="309"/>
    </row>
    <row r="248" spans="1:29" ht="12.75" customHeight="1">
      <c r="A248" s="303"/>
      <c r="B248" s="304"/>
      <c r="C248" s="304"/>
      <c r="D248" s="304"/>
      <c r="E248" s="304"/>
      <c r="F248" s="304"/>
      <c r="G248" s="305"/>
      <c r="H248" s="304"/>
      <c r="I248" s="304"/>
      <c r="J248" s="304"/>
      <c r="K248" s="306"/>
      <c r="L248" s="304"/>
      <c r="M248" s="304"/>
      <c r="N248" s="304"/>
      <c r="O248" s="304"/>
      <c r="P248" s="304"/>
      <c r="Q248" s="199"/>
      <c r="R248" s="199"/>
      <c r="S248" s="199"/>
      <c r="T248" s="199"/>
      <c r="U248" s="199"/>
      <c r="V248" s="199"/>
      <c r="W248" s="199"/>
      <c r="X248" s="199"/>
      <c r="Y248" s="199"/>
      <c r="Z248" s="199"/>
      <c r="AA248" s="199"/>
      <c r="AB248" s="199"/>
      <c r="AC248" s="309"/>
    </row>
    <row r="249" spans="1:29" ht="12.75" customHeight="1">
      <c r="A249" s="303"/>
      <c r="B249" s="304"/>
      <c r="C249" s="304"/>
      <c r="D249" s="304"/>
      <c r="E249" s="304"/>
      <c r="F249" s="304"/>
      <c r="G249" s="305"/>
      <c r="H249" s="304"/>
      <c r="I249" s="304"/>
      <c r="J249" s="304"/>
      <c r="K249" s="306"/>
      <c r="L249" s="304"/>
      <c r="M249" s="304"/>
      <c r="N249" s="304"/>
      <c r="O249" s="304"/>
      <c r="P249" s="304"/>
      <c r="Q249" s="199"/>
      <c r="R249" s="199"/>
      <c r="S249" s="199"/>
      <c r="T249" s="199"/>
      <c r="U249" s="199"/>
      <c r="V249" s="199"/>
      <c r="W249" s="199"/>
      <c r="X249" s="199"/>
      <c r="Y249" s="199"/>
      <c r="Z249" s="199"/>
      <c r="AA249" s="199"/>
      <c r="AB249" s="199"/>
      <c r="AC249" s="309"/>
    </row>
    <row r="250" spans="1:29" ht="12.75" customHeight="1">
      <c r="A250" s="303"/>
      <c r="B250" s="304"/>
      <c r="C250" s="304"/>
      <c r="D250" s="304"/>
      <c r="E250" s="304"/>
      <c r="F250" s="304"/>
      <c r="G250" s="305"/>
      <c r="H250" s="304"/>
      <c r="I250" s="304"/>
      <c r="J250" s="304"/>
      <c r="K250" s="306"/>
      <c r="L250" s="304"/>
      <c r="M250" s="304"/>
      <c r="N250" s="304"/>
      <c r="O250" s="304"/>
      <c r="P250" s="304"/>
      <c r="Q250" s="199"/>
      <c r="R250" s="199"/>
      <c r="S250" s="199"/>
      <c r="T250" s="199"/>
      <c r="U250" s="199"/>
      <c r="V250" s="199"/>
      <c r="W250" s="199"/>
      <c r="X250" s="199"/>
      <c r="Y250" s="199"/>
      <c r="Z250" s="199"/>
      <c r="AA250" s="199"/>
      <c r="AB250" s="199"/>
      <c r="AC250" s="309"/>
    </row>
    <row r="251" spans="1:29" ht="12.75" customHeight="1">
      <c r="A251" s="303"/>
      <c r="B251" s="304"/>
      <c r="C251" s="304"/>
      <c r="D251" s="304"/>
      <c r="E251" s="304"/>
      <c r="F251" s="304"/>
      <c r="G251" s="305"/>
      <c r="H251" s="304"/>
      <c r="I251" s="304"/>
      <c r="J251" s="304"/>
      <c r="K251" s="306"/>
      <c r="L251" s="304"/>
      <c r="M251" s="304"/>
      <c r="N251" s="304"/>
      <c r="O251" s="304"/>
      <c r="P251" s="304"/>
      <c r="Q251" s="199"/>
      <c r="R251" s="199"/>
      <c r="S251" s="199"/>
      <c r="T251" s="199"/>
      <c r="U251" s="199"/>
      <c r="V251" s="199"/>
      <c r="W251" s="199"/>
      <c r="X251" s="199"/>
      <c r="Y251" s="199"/>
      <c r="Z251" s="199"/>
      <c r="AA251" s="199"/>
      <c r="AB251" s="199"/>
      <c r="AC251" s="309"/>
    </row>
    <row r="252" spans="1:29" ht="12.75" customHeight="1">
      <c r="A252" s="303"/>
      <c r="B252" s="304"/>
      <c r="C252" s="304"/>
      <c r="D252" s="304"/>
      <c r="E252" s="304"/>
      <c r="F252" s="304"/>
      <c r="G252" s="305"/>
      <c r="H252" s="304"/>
      <c r="I252" s="304"/>
      <c r="J252" s="304"/>
      <c r="K252" s="306"/>
      <c r="L252" s="304"/>
      <c r="M252" s="304"/>
      <c r="N252" s="304"/>
      <c r="O252" s="304"/>
      <c r="P252" s="304"/>
      <c r="Q252" s="199"/>
      <c r="R252" s="199"/>
      <c r="S252" s="199"/>
      <c r="T252" s="199"/>
      <c r="U252" s="199"/>
      <c r="V252" s="199"/>
      <c r="W252" s="199"/>
      <c r="X252" s="199"/>
      <c r="Y252" s="199"/>
      <c r="Z252" s="199"/>
      <c r="AA252" s="199"/>
      <c r="AB252" s="199"/>
      <c r="AC252" s="309"/>
    </row>
    <row r="253" spans="1:29" ht="12.75" customHeight="1">
      <c r="A253" s="303"/>
      <c r="B253" s="304"/>
      <c r="C253" s="304"/>
      <c r="D253" s="304"/>
      <c r="E253" s="304"/>
      <c r="F253" s="304"/>
      <c r="G253" s="305"/>
      <c r="H253" s="304"/>
      <c r="I253" s="304"/>
      <c r="J253" s="304"/>
      <c r="K253" s="306"/>
      <c r="L253" s="304"/>
      <c r="M253" s="304"/>
      <c r="N253" s="304"/>
      <c r="O253" s="304"/>
      <c r="P253" s="304"/>
      <c r="Q253" s="199"/>
      <c r="R253" s="199"/>
      <c r="S253" s="199"/>
      <c r="T253" s="199"/>
      <c r="U253" s="199"/>
      <c r="V253" s="199"/>
      <c r="W253" s="199"/>
      <c r="X253" s="199"/>
      <c r="Y253" s="199"/>
      <c r="Z253" s="199"/>
      <c r="AA253" s="199"/>
      <c r="AB253" s="199"/>
      <c r="AC253" s="309"/>
    </row>
    <row r="254" spans="1:29" ht="12.75" customHeight="1">
      <c r="A254" s="303"/>
      <c r="B254" s="304"/>
      <c r="C254" s="304"/>
      <c r="D254" s="304"/>
      <c r="E254" s="304"/>
      <c r="F254" s="304"/>
      <c r="G254" s="305"/>
      <c r="H254" s="304"/>
      <c r="I254" s="304"/>
      <c r="J254" s="304"/>
      <c r="K254" s="306"/>
      <c r="L254" s="304"/>
      <c r="M254" s="304"/>
      <c r="N254" s="304"/>
      <c r="O254" s="304"/>
      <c r="P254" s="304"/>
      <c r="Q254" s="199"/>
      <c r="R254" s="199"/>
      <c r="S254" s="199"/>
      <c r="T254" s="199"/>
      <c r="U254" s="199"/>
      <c r="V254" s="199"/>
      <c r="W254" s="199"/>
      <c r="X254" s="199"/>
      <c r="Y254" s="199"/>
      <c r="Z254" s="199"/>
      <c r="AA254" s="199"/>
      <c r="AB254" s="199"/>
      <c r="AC254" s="309"/>
    </row>
    <row r="255" spans="1:29" ht="12.75" customHeight="1">
      <c r="A255" s="303"/>
      <c r="B255" s="304"/>
      <c r="C255" s="304"/>
      <c r="D255" s="304"/>
      <c r="E255" s="304"/>
      <c r="F255" s="304"/>
      <c r="G255" s="305"/>
      <c r="H255" s="304"/>
      <c r="I255" s="304"/>
      <c r="J255" s="304"/>
      <c r="K255" s="306"/>
      <c r="L255" s="304"/>
      <c r="M255" s="304"/>
      <c r="N255" s="304"/>
      <c r="O255" s="304"/>
      <c r="P255" s="304"/>
      <c r="Q255" s="199"/>
      <c r="R255" s="199"/>
      <c r="S255" s="199"/>
      <c r="T255" s="199"/>
      <c r="U255" s="199"/>
      <c r="V255" s="199"/>
      <c r="W255" s="199"/>
      <c r="X255" s="199"/>
      <c r="Y255" s="199"/>
      <c r="Z255" s="199"/>
      <c r="AA255" s="199"/>
      <c r="AB255" s="199"/>
      <c r="AC255" s="309"/>
    </row>
    <row r="256" spans="1:29" ht="12.75" customHeight="1">
      <c r="A256" s="303"/>
      <c r="B256" s="304"/>
      <c r="C256" s="304"/>
      <c r="D256" s="304"/>
      <c r="E256" s="304"/>
      <c r="F256" s="304"/>
      <c r="G256" s="305"/>
      <c r="H256" s="304"/>
      <c r="I256" s="304"/>
      <c r="J256" s="304"/>
      <c r="K256" s="306"/>
      <c r="L256" s="304"/>
      <c r="M256" s="304"/>
      <c r="N256" s="304"/>
      <c r="O256" s="304"/>
      <c r="P256" s="304"/>
      <c r="Q256" s="199"/>
      <c r="R256" s="199"/>
      <c r="S256" s="199"/>
      <c r="T256" s="199"/>
      <c r="U256" s="199"/>
      <c r="V256" s="199"/>
      <c r="W256" s="199"/>
      <c r="X256" s="199"/>
      <c r="Y256" s="199"/>
      <c r="Z256" s="199"/>
      <c r="AA256" s="199"/>
      <c r="AB256" s="199"/>
      <c r="AC256" s="309"/>
    </row>
    <row r="257" spans="1:29" ht="12.75" customHeight="1">
      <c r="A257" s="303"/>
      <c r="B257" s="304"/>
      <c r="C257" s="304"/>
      <c r="D257" s="304"/>
      <c r="E257" s="304"/>
      <c r="F257" s="304"/>
      <c r="G257" s="305"/>
      <c r="H257" s="304"/>
      <c r="I257" s="304"/>
      <c r="J257" s="304"/>
      <c r="K257" s="306"/>
      <c r="L257" s="304"/>
      <c r="M257" s="304"/>
      <c r="N257" s="304"/>
      <c r="O257" s="304"/>
      <c r="P257" s="304"/>
      <c r="Q257" s="199"/>
      <c r="R257" s="199"/>
      <c r="S257" s="199"/>
      <c r="T257" s="199"/>
      <c r="U257" s="199"/>
      <c r="V257" s="199"/>
      <c r="W257" s="199"/>
      <c r="X257" s="199"/>
      <c r="Y257" s="199"/>
      <c r="Z257" s="199"/>
      <c r="AA257" s="199"/>
      <c r="AB257" s="199"/>
      <c r="AC257" s="309"/>
    </row>
    <row r="258" spans="1:29" ht="12.75" customHeight="1">
      <c r="A258" s="303"/>
      <c r="B258" s="304"/>
      <c r="C258" s="304"/>
      <c r="D258" s="304"/>
      <c r="E258" s="304"/>
      <c r="F258" s="304"/>
      <c r="G258" s="305"/>
      <c r="H258" s="304"/>
      <c r="I258" s="304"/>
      <c r="J258" s="304"/>
      <c r="K258" s="306"/>
      <c r="L258" s="304"/>
      <c r="M258" s="304"/>
      <c r="N258" s="304"/>
      <c r="O258" s="304"/>
      <c r="P258" s="304"/>
      <c r="Q258" s="199"/>
      <c r="R258" s="199"/>
      <c r="S258" s="199"/>
      <c r="T258" s="199"/>
      <c r="U258" s="199"/>
      <c r="V258" s="199"/>
      <c r="W258" s="199"/>
      <c r="X258" s="199"/>
      <c r="Y258" s="199"/>
      <c r="Z258" s="199"/>
      <c r="AA258" s="199"/>
      <c r="AB258" s="199"/>
      <c r="AC258" s="309"/>
    </row>
    <row r="259" spans="1:29" ht="12.75" customHeight="1">
      <c r="A259" s="303"/>
      <c r="B259" s="304"/>
      <c r="C259" s="304"/>
      <c r="D259" s="304"/>
      <c r="E259" s="304"/>
      <c r="F259" s="304"/>
      <c r="G259" s="305"/>
      <c r="H259" s="304"/>
      <c r="I259" s="304"/>
      <c r="J259" s="304"/>
      <c r="K259" s="306"/>
      <c r="L259" s="304"/>
      <c r="M259" s="304"/>
      <c r="N259" s="304"/>
      <c r="O259" s="304"/>
      <c r="P259" s="304"/>
      <c r="Q259" s="199"/>
      <c r="R259" s="199"/>
      <c r="S259" s="199"/>
      <c r="T259" s="199"/>
      <c r="U259" s="199"/>
      <c r="V259" s="199"/>
      <c r="W259" s="199"/>
      <c r="X259" s="199"/>
      <c r="Y259" s="199"/>
      <c r="Z259" s="199"/>
      <c r="AA259" s="199"/>
      <c r="AB259" s="199"/>
      <c r="AC259" s="309"/>
    </row>
    <row r="260" spans="1:29" ht="12.75" customHeight="1">
      <c r="A260" s="303"/>
      <c r="B260" s="304"/>
      <c r="C260" s="304"/>
      <c r="D260" s="304"/>
      <c r="E260" s="304"/>
      <c r="F260" s="304"/>
      <c r="G260" s="305"/>
      <c r="H260" s="304"/>
      <c r="I260" s="304"/>
      <c r="J260" s="304"/>
      <c r="K260" s="306"/>
      <c r="L260" s="304"/>
      <c r="M260" s="304"/>
      <c r="N260" s="304"/>
      <c r="O260" s="304"/>
      <c r="P260" s="304"/>
      <c r="Q260" s="199"/>
      <c r="R260" s="199"/>
      <c r="S260" s="199"/>
      <c r="T260" s="199"/>
      <c r="U260" s="199"/>
      <c r="V260" s="199"/>
      <c r="W260" s="199"/>
      <c r="X260" s="199"/>
      <c r="Y260" s="199"/>
      <c r="Z260" s="199"/>
      <c r="AA260" s="199"/>
      <c r="AB260" s="199"/>
      <c r="AC260" s="309"/>
    </row>
    <row r="261" spans="1:29" ht="12.75" customHeight="1">
      <c r="A261" s="303"/>
      <c r="B261" s="304"/>
      <c r="C261" s="304"/>
      <c r="D261" s="304"/>
      <c r="E261" s="304"/>
      <c r="F261" s="304"/>
      <c r="G261" s="305"/>
      <c r="H261" s="304"/>
      <c r="I261" s="304"/>
      <c r="J261" s="304"/>
      <c r="K261" s="306"/>
      <c r="L261" s="304"/>
      <c r="M261" s="304"/>
      <c r="N261" s="304"/>
      <c r="O261" s="304"/>
      <c r="P261" s="304"/>
      <c r="Q261" s="199"/>
      <c r="R261" s="199"/>
      <c r="S261" s="199"/>
      <c r="T261" s="199"/>
      <c r="U261" s="199"/>
      <c r="V261" s="199"/>
      <c r="W261" s="199"/>
      <c r="X261" s="199"/>
      <c r="Y261" s="199"/>
      <c r="Z261" s="199"/>
      <c r="AA261" s="199"/>
      <c r="AB261" s="199"/>
      <c r="AC261" s="309"/>
    </row>
    <row r="262" spans="1:29" ht="12.75" customHeight="1">
      <c r="A262" s="303"/>
      <c r="B262" s="304"/>
      <c r="C262" s="304"/>
      <c r="D262" s="304"/>
      <c r="E262" s="304"/>
      <c r="F262" s="304"/>
      <c r="G262" s="305"/>
      <c r="H262" s="304"/>
      <c r="I262" s="304"/>
      <c r="J262" s="304"/>
      <c r="K262" s="306"/>
      <c r="L262" s="304"/>
      <c r="M262" s="304"/>
      <c r="N262" s="304"/>
      <c r="O262" s="304"/>
      <c r="P262" s="304"/>
      <c r="Q262" s="199"/>
      <c r="R262" s="199"/>
      <c r="S262" s="199"/>
      <c r="T262" s="199"/>
      <c r="U262" s="199"/>
      <c r="V262" s="199"/>
      <c r="W262" s="199"/>
      <c r="X262" s="199"/>
      <c r="Y262" s="199"/>
      <c r="Z262" s="199"/>
      <c r="AA262" s="199"/>
      <c r="AB262" s="199"/>
      <c r="AC262" s="309"/>
    </row>
    <row r="263" spans="1:29" ht="12.75" customHeight="1">
      <c r="A263" s="303"/>
      <c r="B263" s="304"/>
      <c r="C263" s="304"/>
      <c r="D263" s="304"/>
      <c r="E263" s="304"/>
      <c r="F263" s="304"/>
      <c r="G263" s="305"/>
      <c r="H263" s="304"/>
      <c r="I263" s="304"/>
      <c r="J263" s="304"/>
      <c r="K263" s="306"/>
      <c r="L263" s="304"/>
      <c r="M263" s="304"/>
      <c r="N263" s="304"/>
      <c r="O263" s="304"/>
      <c r="P263" s="304"/>
      <c r="Q263" s="199"/>
      <c r="R263" s="199"/>
      <c r="S263" s="199"/>
      <c r="T263" s="199"/>
      <c r="U263" s="199"/>
      <c r="V263" s="199"/>
      <c r="W263" s="199"/>
      <c r="X263" s="199"/>
      <c r="Y263" s="199"/>
      <c r="Z263" s="199"/>
      <c r="AA263" s="199"/>
      <c r="AB263" s="199"/>
      <c r="AC263" s="309"/>
    </row>
    <row r="264" spans="1:29" ht="12.75" customHeight="1">
      <c r="A264" s="303"/>
      <c r="B264" s="304"/>
      <c r="C264" s="304"/>
      <c r="D264" s="304"/>
      <c r="E264" s="304"/>
      <c r="F264" s="304"/>
      <c r="G264" s="305"/>
      <c r="H264" s="304"/>
      <c r="I264" s="304"/>
      <c r="J264" s="304"/>
      <c r="K264" s="306"/>
      <c r="L264" s="304"/>
      <c r="M264" s="304"/>
      <c r="N264" s="304"/>
      <c r="O264" s="304"/>
      <c r="P264" s="304"/>
      <c r="Q264" s="199"/>
      <c r="R264" s="199"/>
      <c r="S264" s="199"/>
      <c r="T264" s="199"/>
      <c r="U264" s="199"/>
      <c r="V264" s="199"/>
      <c r="W264" s="199"/>
      <c r="X264" s="199"/>
      <c r="Y264" s="199"/>
      <c r="Z264" s="199"/>
      <c r="AA264" s="199"/>
      <c r="AB264" s="199"/>
      <c r="AC264" s="309"/>
    </row>
    <row r="265" spans="1:29" ht="12.75" customHeight="1">
      <c r="A265" s="303"/>
      <c r="B265" s="304"/>
      <c r="C265" s="304"/>
      <c r="D265" s="304"/>
      <c r="E265" s="304"/>
      <c r="F265" s="304"/>
      <c r="G265" s="305"/>
      <c r="H265" s="304"/>
      <c r="I265" s="304"/>
      <c r="J265" s="304"/>
      <c r="K265" s="306"/>
      <c r="L265" s="304"/>
      <c r="M265" s="304"/>
      <c r="N265" s="304"/>
      <c r="O265" s="304"/>
      <c r="P265" s="304"/>
      <c r="Q265" s="199"/>
      <c r="R265" s="199"/>
      <c r="S265" s="199"/>
      <c r="T265" s="199"/>
      <c r="U265" s="199"/>
      <c r="V265" s="199"/>
      <c r="W265" s="199"/>
      <c r="X265" s="199"/>
      <c r="Y265" s="199"/>
      <c r="Z265" s="199"/>
      <c r="AA265" s="199"/>
      <c r="AB265" s="199"/>
      <c r="AC265" s="309"/>
    </row>
    <row r="266" spans="1:29" ht="12.75" customHeight="1">
      <c r="A266" s="303"/>
      <c r="B266" s="304"/>
      <c r="C266" s="304"/>
      <c r="D266" s="304"/>
      <c r="E266" s="304"/>
      <c r="F266" s="304"/>
      <c r="G266" s="305"/>
      <c r="H266" s="304"/>
      <c r="I266" s="304"/>
      <c r="J266" s="304"/>
      <c r="K266" s="306"/>
      <c r="L266" s="304"/>
      <c r="M266" s="304"/>
      <c r="N266" s="304"/>
      <c r="O266" s="304"/>
      <c r="P266" s="304"/>
      <c r="Q266" s="199"/>
      <c r="R266" s="199"/>
      <c r="S266" s="199"/>
      <c r="T266" s="199"/>
      <c r="U266" s="199"/>
      <c r="V266" s="199"/>
      <c r="W266" s="199"/>
      <c r="X266" s="199"/>
      <c r="Y266" s="199"/>
      <c r="Z266" s="199"/>
      <c r="AA266" s="199"/>
      <c r="AB266" s="199"/>
      <c r="AC266" s="309"/>
    </row>
    <row r="267" spans="1:29" ht="12.75" customHeight="1">
      <c r="A267" s="303"/>
      <c r="B267" s="304"/>
      <c r="C267" s="304"/>
      <c r="D267" s="304"/>
      <c r="E267" s="304"/>
      <c r="F267" s="304"/>
      <c r="G267" s="305"/>
      <c r="H267" s="304"/>
      <c r="I267" s="304"/>
      <c r="J267" s="304"/>
      <c r="K267" s="306"/>
      <c r="L267" s="304"/>
      <c r="M267" s="304"/>
      <c r="N267" s="304"/>
      <c r="O267" s="304"/>
      <c r="P267" s="304"/>
      <c r="Q267" s="199"/>
      <c r="R267" s="199"/>
      <c r="S267" s="199"/>
      <c r="T267" s="199"/>
      <c r="U267" s="199"/>
      <c r="V267" s="199"/>
      <c r="W267" s="199"/>
      <c r="X267" s="199"/>
      <c r="Y267" s="199"/>
      <c r="Z267" s="199"/>
      <c r="AA267" s="199"/>
      <c r="AB267" s="199"/>
      <c r="AC267" s="309"/>
    </row>
    <row r="268" spans="1:29" ht="12.75" customHeight="1">
      <c r="A268" s="303"/>
      <c r="B268" s="304"/>
      <c r="C268" s="304"/>
      <c r="D268" s="304"/>
      <c r="E268" s="304"/>
      <c r="F268" s="304"/>
      <c r="G268" s="305"/>
      <c r="H268" s="304"/>
      <c r="I268" s="304"/>
      <c r="J268" s="304"/>
      <c r="K268" s="306"/>
      <c r="L268" s="304"/>
      <c r="M268" s="304"/>
      <c r="N268" s="304"/>
      <c r="O268" s="304"/>
      <c r="P268" s="304"/>
      <c r="Q268" s="199"/>
      <c r="R268" s="199"/>
      <c r="S268" s="199"/>
      <c r="T268" s="199"/>
      <c r="U268" s="199"/>
      <c r="V268" s="199"/>
      <c r="W268" s="199"/>
      <c r="X268" s="199"/>
      <c r="Y268" s="199"/>
      <c r="Z268" s="199"/>
      <c r="AA268" s="199"/>
      <c r="AB268" s="199"/>
      <c r="AC268" s="309"/>
    </row>
    <row r="269" spans="1:29" ht="12.75" customHeight="1">
      <c r="A269" s="303"/>
      <c r="B269" s="304"/>
      <c r="C269" s="304"/>
      <c r="D269" s="304"/>
      <c r="E269" s="304"/>
      <c r="F269" s="304"/>
      <c r="G269" s="305"/>
      <c r="H269" s="304"/>
      <c r="I269" s="304"/>
      <c r="J269" s="304"/>
      <c r="K269" s="306"/>
      <c r="L269" s="304"/>
      <c r="M269" s="304"/>
      <c r="N269" s="304"/>
      <c r="O269" s="304"/>
      <c r="P269" s="304"/>
      <c r="Q269" s="199"/>
      <c r="R269" s="199"/>
      <c r="S269" s="199"/>
      <c r="T269" s="199"/>
      <c r="U269" s="199"/>
      <c r="V269" s="199"/>
      <c r="W269" s="199"/>
      <c r="X269" s="199"/>
      <c r="Y269" s="199"/>
      <c r="Z269" s="199"/>
      <c r="AA269" s="199"/>
      <c r="AB269" s="199"/>
      <c r="AC269" s="309"/>
    </row>
    <row r="270" spans="1:29" ht="12.75" customHeight="1">
      <c r="A270" s="303"/>
      <c r="B270" s="304"/>
      <c r="C270" s="304"/>
      <c r="D270" s="304"/>
      <c r="E270" s="304"/>
      <c r="F270" s="304"/>
      <c r="G270" s="305"/>
      <c r="H270" s="304"/>
      <c r="I270" s="304"/>
      <c r="J270" s="304"/>
      <c r="K270" s="306"/>
      <c r="L270" s="304"/>
      <c r="M270" s="304"/>
      <c r="N270" s="304"/>
      <c r="O270" s="304"/>
      <c r="P270" s="304"/>
      <c r="Q270" s="199"/>
      <c r="R270" s="199"/>
      <c r="S270" s="199"/>
      <c r="T270" s="199"/>
      <c r="U270" s="199"/>
      <c r="V270" s="199"/>
      <c r="W270" s="199"/>
      <c r="X270" s="199"/>
      <c r="Y270" s="199"/>
      <c r="Z270" s="199"/>
      <c r="AA270" s="199"/>
      <c r="AB270" s="199"/>
      <c r="AC270" s="309"/>
    </row>
    <row r="271" spans="1:29" ht="12.75" customHeight="1">
      <c r="A271" s="303"/>
      <c r="B271" s="304"/>
      <c r="C271" s="304"/>
      <c r="D271" s="304"/>
      <c r="E271" s="304"/>
      <c r="F271" s="304"/>
      <c r="G271" s="305"/>
      <c r="H271" s="304"/>
      <c r="I271" s="304"/>
      <c r="J271" s="304"/>
      <c r="K271" s="306"/>
      <c r="L271" s="304"/>
      <c r="M271" s="304"/>
      <c r="N271" s="304"/>
      <c r="O271" s="304"/>
      <c r="P271" s="304"/>
      <c r="Q271" s="199"/>
      <c r="R271" s="199"/>
      <c r="S271" s="199"/>
      <c r="T271" s="199"/>
      <c r="U271" s="199"/>
      <c r="V271" s="199"/>
      <c r="W271" s="199"/>
      <c r="X271" s="199"/>
      <c r="Y271" s="199"/>
      <c r="Z271" s="199"/>
      <c r="AA271" s="199"/>
      <c r="AB271" s="199"/>
      <c r="AC271" s="309"/>
    </row>
    <row r="272" spans="1:29" ht="12.75" customHeight="1">
      <c r="A272" s="303"/>
      <c r="B272" s="304"/>
      <c r="C272" s="304"/>
      <c r="D272" s="304"/>
      <c r="E272" s="304"/>
      <c r="F272" s="304"/>
      <c r="G272" s="305"/>
      <c r="H272" s="304"/>
      <c r="I272" s="304"/>
      <c r="J272" s="304"/>
      <c r="K272" s="306"/>
      <c r="L272" s="304"/>
      <c r="M272" s="304"/>
      <c r="N272" s="304"/>
      <c r="O272" s="304"/>
      <c r="P272" s="304"/>
      <c r="Q272" s="199"/>
      <c r="R272" s="199"/>
      <c r="S272" s="199"/>
      <c r="T272" s="199"/>
      <c r="U272" s="199"/>
      <c r="V272" s="199"/>
      <c r="W272" s="199"/>
      <c r="X272" s="199"/>
      <c r="Y272" s="199"/>
      <c r="Z272" s="199"/>
      <c r="AA272" s="199"/>
      <c r="AB272" s="199"/>
      <c r="AC272" s="309"/>
    </row>
    <row r="273" spans="1:29" ht="12.75" customHeight="1">
      <c r="A273" s="303"/>
      <c r="B273" s="304"/>
      <c r="C273" s="304"/>
      <c r="D273" s="304"/>
      <c r="E273" s="304"/>
      <c r="F273" s="304"/>
      <c r="G273" s="305"/>
      <c r="H273" s="304"/>
      <c r="I273" s="304"/>
      <c r="J273" s="304"/>
      <c r="K273" s="306"/>
      <c r="L273" s="304"/>
      <c r="M273" s="304"/>
      <c r="N273" s="304"/>
      <c r="O273" s="304"/>
      <c r="P273" s="304"/>
      <c r="Q273" s="199"/>
      <c r="R273" s="199"/>
      <c r="S273" s="199"/>
      <c r="T273" s="199"/>
      <c r="U273" s="199"/>
      <c r="V273" s="199"/>
      <c r="W273" s="199"/>
      <c r="X273" s="199"/>
      <c r="Y273" s="199"/>
      <c r="Z273" s="199"/>
      <c r="AA273" s="199"/>
      <c r="AB273" s="199"/>
      <c r="AC273" s="309"/>
    </row>
    <row r="274" spans="1:29" ht="12.75" customHeight="1">
      <c r="A274" s="303"/>
      <c r="B274" s="304"/>
      <c r="C274" s="304"/>
      <c r="D274" s="304"/>
      <c r="E274" s="304"/>
      <c r="F274" s="304"/>
      <c r="G274" s="305"/>
      <c r="H274" s="304"/>
      <c r="I274" s="304"/>
      <c r="J274" s="304"/>
      <c r="K274" s="306"/>
      <c r="L274" s="304"/>
      <c r="M274" s="304"/>
      <c r="N274" s="304"/>
      <c r="O274" s="304"/>
      <c r="P274" s="304"/>
      <c r="Q274" s="199"/>
      <c r="R274" s="199"/>
      <c r="S274" s="199"/>
      <c r="T274" s="199"/>
      <c r="U274" s="199"/>
      <c r="V274" s="199"/>
      <c r="W274" s="199"/>
      <c r="X274" s="199"/>
      <c r="Y274" s="199"/>
      <c r="Z274" s="199"/>
      <c r="AA274" s="199"/>
      <c r="AB274" s="199"/>
      <c r="AC274" s="309"/>
    </row>
    <row r="275" spans="1:29" ht="12.75" customHeight="1">
      <c r="A275" s="303"/>
      <c r="B275" s="304"/>
      <c r="C275" s="304"/>
      <c r="D275" s="304"/>
      <c r="E275" s="304"/>
      <c r="F275" s="304"/>
      <c r="G275" s="305"/>
      <c r="H275" s="304"/>
      <c r="I275" s="304"/>
      <c r="J275" s="304"/>
      <c r="K275" s="306"/>
      <c r="L275" s="304"/>
      <c r="M275" s="304"/>
      <c r="N275" s="304"/>
      <c r="O275" s="304"/>
      <c r="P275" s="304"/>
      <c r="Q275" s="199"/>
      <c r="R275" s="199"/>
      <c r="S275" s="199"/>
      <c r="T275" s="199"/>
      <c r="U275" s="199"/>
      <c r="V275" s="199"/>
      <c r="W275" s="199"/>
      <c r="X275" s="199"/>
      <c r="Y275" s="199"/>
      <c r="Z275" s="199"/>
      <c r="AA275" s="199"/>
      <c r="AB275" s="199"/>
      <c r="AC275" s="309"/>
    </row>
    <row r="276" spans="1:29" ht="12.75" customHeight="1">
      <c r="A276" s="303"/>
      <c r="B276" s="304"/>
      <c r="C276" s="304"/>
      <c r="D276" s="304"/>
      <c r="E276" s="304"/>
      <c r="F276" s="304"/>
      <c r="G276" s="305"/>
      <c r="H276" s="304"/>
      <c r="I276" s="304"/>
      <c r="J276" s="304"/>
      <c r="K276" s="306"/>
      <c r="L276" s="304"/>
      <c r="M276" s="304"/>
      <c r="N276" s="304"/>
      <c r="O276" s="304"/>
      <c r="P276" s="304"/>
      <c r="Q276" s="199"/>
      <c r="R276" s="199"/>
      <c r="S276" s="199"/>
      <c r="T276" s="199"/>
      <c r="U276" s="199"/>
      <c r="V276" s="199"/>
      <c r="W276" s="199"/>
      <c r="X276" s="199"/>
      <c r="Y276" s="199"/>
      <c r="Z276" s="199"/>
      <c r="AA276" s="199"/>
      <c r="AB276" s="199"/>
      <c r="AC276" s="309"/>
    </row>
    <row r="277" spans="1:29" ht="12.75" customHeight="1">
      <c r="A277" s="303"/>
      <c r="B277" s="304"/>
      <c r="C277" s="304"/>
      <c r="D277" s="304"/>
      <c r="E277" s="304"/>
      <c r="F277" s="304"/>
      <c r="G277" s="305"/>
      <c r="H277" s="304"/>
      <c r="I277" s="304"/>
      <c r="J277" s="304"/>
      <c r="K277" s="306"/>
      <c r="L277" s="304"/>
      <c r="M277" s="304"/>
      <c r="N277" s="304"/>
      <c r="O277" s="304"/>
      <c r="P277" s="304"/>
      <c r="Q277" s="199"/>
      <c r="R277" s="199"/>
      <c r="S277" s="199"/>
      <c r="T277" s="199"/>
      <c r="U277" s="199"/>
      <c r="V277" s="199"/>
      <c r="W277" s="199"/>
      <c r="X277" s="199"/>
      <c r="Y277" s="199"/>
      <c r="Z277" s="199"/>
      <c r="AA277" s="199"/>
      <c r="AB277" s="199"/>
      <c r="AC277" s="309"/>
    </row>
    <row r="278" spans="1:29" ht="12.75" customHeight="1">
      <c r="A278" s="303"/>
      <c r="B278" s="304"/>
      <c r="C278" s="304"/>
      <c r="D278" s="304"/>
      <c r="E278" s="304"/>
      <c r="F278" s="304"/>
      <c r="G278" s="305"/>
      <c r="H278" s="304"/>
      <c r="I278" s="304"/>
      <c r="J278" s="304"/>
      <c r="K278" s="306"/>
      <c r="L278" s="304"/>
      <c r="M278" s="304"/>
      <c r="N278" s="304"/>
      <c r="O278" s="304"/>
      <c r="P278" s="304"/>
      <c r="Q278" s="199"/>
      <c r="R278" s="199"/>
      <c r="S278" s="199"/>
      <c r="T278" s="199"/>
      <c r="U278" s="199"/>
      <c r="V278" s="199"/>
      <c r="W278" s="199"/>
      <c r="X278" s="199"/>
      <c r="Y278" s="199"/>
      <c r="Z278" s="199"/>
      <c r="AA278" s="199"/>
      <c r="AB278" s="199"/>
      <c r="AC278" s="309"/>
    </row>
    <row r="279" spans="1:29" ht="12.75" customHeight="1">
      <c r="A279" s="303"/>
      <c r="B279" s="304"/>
      <c r="C279" s="304"/>
      <c r="D279" s="304"/>
      <c r="E279" s="304"/>
      <c r="F279" s="304"/>
      <c r="G279" s="305"/>
      <c r="H279" s="304"/>
      <c r="I279" s="304"/>
      <c r="J279" s="304"/>
      <c r="K279" s="306"/>
      <c r="L279" s="304"/>
      <c r="M279" s="304"/>
      <c r="N279" s="304"/>
      <c r="O279" s="304"/>
      <c r="P279" s="304"/>
      <c r="Q279" s="199"/>
      <c r="R279" s="199"/>
      <c r="S279" s="199"/>
      <c r="T279" s="199"/>
      <c r="U279" s="199"/>
      <c r="V279" s="199"/>
      <c r="W279" s="199"/>
      <c r="X279" s="199"/>
      <c r="Y279" s="199"/>
      <c r="Z279" s="199"/>
      <c r="AA279" s="199"/>
      <c r="AB279" s="199"/>
      <c r="AC279" s="309"/>
    </row>
    <row r="280" spans="1:29" ht="12.75" customHeight="1">
      <c r="A280" s="303"/>
      <c r="B280" s="304"/>
      <c r="C280" s="304"/>
      <c r="D280" s="304"/>
      <c r="E280" s="304"/>
      <c r="F280" s="304"/>
      <c r="G280" s="305"/>
      <c r="H280" s="304"/>
      <c r="I280" s="304"/>
      <c r="J280" s="304"/>
      <c r="K280" s="306"/>
      <c r="L280" s="304"/>
      <c r="M280" s="304"/>
      <c r="N280" s="304"/>
      <c r="O280" s="304"/>
      <c r="P280" s="304"/>
      <c r="Q280" s="199"/>
      <c r="R280" s="199"/>
      <c r="S280" s="199"/>
      <c r="T280" s="199"/>
      <c r="U280" s="199"/>
      <c r="V280" s="199"/>
      <c r="W280" s="199"/>
      <c r="X280" s="199"/>
      <c r="Y280" s="199"/>
      <c r="Z280" s="199"/>
      <c r="AA280" s="199"/>
      <c r="AB280" s="199"/>
      <c r="AC280" s="309"/>
    </row>
    <row r="281" spans="1:29" ht="12.75" customHeight="1">
      <c r="A281" s="303"/>
      <c r="B281" s="304"/>
      <c r="C281" s="304"/>
      <c r="D281" s="304"/>
      <c r="E281" s="304"/>
      <c r="F281" s="304"/>
      <c r="G281" s="305"/>
      <c r="H281" s="304"/>
      <c r="I281" s="304"/>
      <c r="J281" s="304"/>
      <c r="K281" s="306"/>
      <c r="L281" s="304"/>
      <c r="M281" s="304"/>
      <c r="N281" s="304"/>
      <c r="O281" s="304"/>
      <c r="P281" s="304"/>
      <c r="Q281" s="199"/>
      <c r="R281" s="199"/>
      <c r="S281" s="199"/>
      <c r="T281" s="199"/>
      <c r="U281" s="199"/>
      <c r="V281" s="199"/>
      <c r="W281" s="199"/>
      <c r="X281" s="199"/>
      <c r="Y281" s="199"/>
      <c r="Z281" s="199"/>
      <c r="AA281" s="199"/>
      <c r="AB281" s="199"/>
      <c r="AC281" s="309"/>
    </row>
    <row r="282" spans="1:29" ht="12.75" customHeight="1">
      <c r="A282" s="303"/>
      <c r="B282" s="304"/>
      <c r="C282" s="304"/>
      <c r="D282" s="304"/>
      <c r="E282" s="304"/>
      <c r="F282" s="304"/>
      <c r="G282" s="305"/>
      <c r="H282" s="304"/>
      <c r="I282" s="304"/>
      <c r="J282" s="304"/>
      <c r="K282" s="306"/>
      <c r="L282" s="304"/>
      <c r="M282" s="304"/>
      <c r="N282" s="304"/>
      <c r="O282" s="304"/>
      <c r="P282" s="304"/>
      <c r="Q282" s="199"/>
      <c r="R282" s="199"/>
      <c r="S282" s="199"/>
      <c r="T282" s="199"/>
      <c r="U282" s="199"/>
      <c r="V282" s="199"/>
      <c r="W282" s="199"/>
      <c r="X282" s="199"/>
      <c r="Y282" s="199"/>
      <c r="Z282" s="199"/>
      <c r="AA282" s="199"/>
      <c r="AB282" s="199"/>
      <c r="AC282" s="309"/>
    </row>
    <row r="283" spans="1:29" ht="12.75" customHeight="1">
      <c r="A283" s="303"/>
      <c r="B283" s="304"/>
      <c r="C283" s="304"/>
      <c r="D283" s="304"/>
      <c r="E283" s="304"/>
      <c r="F283" s="304"/>
      <c r="G283" s="305"/>
      <c r="H283" s="304"/>
      <c r="I283" s="304"/>
      <c r="J283" s="304"/>
      <c r="K283" s="306"/>
      <c r="L283" s="304"/>
      <c r="M283" s="304"/>
      <c r="N283" s="304"/>
      <c r="O283" s="304"/>
      <c r="P283" s="304"/>
      <c r="Q283" s="199"/>
      <c r="R283" s="199"/>
      <c r="S283" s="199"/>
      <c r="T283" s="199"/>
      <c r="U283" s="199"/>
      <c r="V283" s="199"/>
      <c r="W283" s="199"/>
      <c r="X283" s="199"/>
      <c r="Y283" s="199"/>
      <c r="Z283" s="199"/>
      <c r="AA283" s="199"/>
      <c r="AB283" s="199"/>
      <c r="AC283" s="309"/>
    </row>
    <row r="284" spans="1:29" ht="12.75" customHeight="1">
      <c r="A284" s="303"/>
      <c r="B284" s="304"/>
      <c r="C284" s="304"/>
      <c r="D284" s="304"/>
      <c r="E284" s="304"/>
      <c r="F284" s="304"/>
      <c r="G284" s="305"/>
      <c r="H284" s="304"/>
      <c r="I284" s="304"/>
      <c r="J284" s="304"/>
      <c r="K284" s="306"/>
      <c r="L284" s="304"/>
      <c r="M284" s="304"/>
      <c r="N284" s="304"/>
      <c r="O284" s="304"/>
      <c r="P284" s="304"/>
      <c r="Q284" s="199"/>
      <c r="R284" s="199"/>
      <c r="S284" s="199"/>
      <c r="T284" s="199"/>
      <c r="U284" s="199"/>
      <c r="V284" s="199"/>
      <c r="W284" s="199"/>
      <c r="X284" s="199"/>
      <c r="Y284" s="199"/>
      <c r="Z284" s="199"/>
      <c r="AA284" s="199"/>
      <c r="AB284" s="199"/>
      <c r="AC284" s="309"/>
    </row>
    <row r="285" spans="1:29" ht="12.75" customHeight="1">
      <c r="A285" s="303"/>
      <c r="B285" s="304"/>
      <c r="C285" s="304"/>
      <c r="D285" s="304"/>
      <c r="E285" s="304"/>
      <c r="F285" s="304"/>
      <c r="G285" s="305"/>
      <c r="H285" s="304"/>
      <c r="I285" s="304"/>
      <c r="J285" s="304"/>
      <c r="K285" s="306"/>
      <c r="L285" s="304"/>
      <c r="M285" s="304"/>
      <c r="N285" s="304"/>
      <c r="O285" s="304"/>
      <c r="P285" s="304"/>
      <c r="Q285" s="199"/>
      <c r="R285" s="199"/>
      <c r="S285" s="199"/>
      <c r="T285" s="199"/>
      <c r="U285" s="199"/>
      <c r="V285" s="199"/>
      <c r="W285" s="199"/>
      <c r="X285" s="199"/>
      <c r="Y285" s="199"/>
      <c r="Z285" s="199"/>
      <c r="AA285" s="199"/>
      <c r="AB285" s="199"/>
      <c r="AC285" s="309"/>
    </row>
    <row r="286" spans="1:29" ht="12.75" customHeight="1">
      <c r="A286" s="303"/>
      <c r="B286" s="304"/>
      <c r="C286" s="304"/>
      <c r="D286" s="304"/>
      <c r="E286" s="304"/>
      <c r="F286" s="304"/>
      <c r="G286" s="305"/>
      <c r="H286" s="304"/>
      <c r="I286" s="304"/>
      <c r="J286" s="304"/>
      <c r="K286" s="306"/>
      <c r="L286" s="304"/>
      <c r="M286" s="304"/>
      <c r="N286" s="304"/>
      <c r="O286" s="304"/>
      <c r="P286" s="304"/>
      <c r="Q286" s="199"/>
      <c r="R286" s="199"/>
      <c r="S286" s="199"/>
      <c r="T286" s="199"/>
      <c r="U286" s="199"/>
      <c r="V286" s="199"/>
      <c r="W286" s="199"/>
      <c r="X286" s="199"/>
      <c r="Y286" s="199"/>
      <c r="Z286" s="199"/>
      <c r="AA286" s="199"/>
      <c r="AB286" s="199"/>
      <c r="AC286" s="309"/>
    </row>
    <row r="287" spans="1:29" ht="12.75" customHeight="1">
      <c r="A287" s="303"/>
      <c r="B287" s="304"/>
      <c r="C287" s="304"/>
      <c r="D287" s="304"/>
      <c r="E287" s="304"/>
      <c r="F287" s="304"/>
      <c r="G287" s="305"/>
      <c r="H287" s="304"/>
      <c r="I287" s="304"/>
      <c r="J287" s="304"/>
      <c r="K287" s="306"/>
      <c r="L287" s="304"/>
      <c r="M287" s="304"/>
      <c r="N287" s="304"/>
      <c r="O287" s="304"/>
      <c r="P287" s="304"/>
      <c r="Q287" s="199"/>
      <c r="R287" s="199"/>
      <c r="S287" s="199"/>
      <c r="T287" s="199"/>
      <c r="U287" s="199"/>
      <c r="V287" s="199"/>
      <c r="W287" s="199"/>
      <c r="X287" s="199"/>
      <c r="Y287" s="199"/>
      <c r="Z287" s="199"/>
      <c r="AA287" s="199"/>
      <c r="AB287" s="199"/>
      <c r="AC287" s="309"/>
    </row>
    <row r="288" spans="1:29" ht="12.75" customHeight="1">
      <c r="A288" s="303"/>
      <c r="B288" s="304"/>
      <c r="C288" s="304"/>
      <c r="D288" s="304"/>
      <c r="E288" s="304"/>
      <c r="F288" s="304"/>
      <c r="G288" s="305"/>
      <c r="H288" s="304"/>
      <c r="I288" s="304"/>
      <c r="J288" s="304"/>
      <c r="K288" s="306"/>
      <c r="L288" s="304"/>
      <c r="M288" s="304"/>
      <c r="N288" s="304"/>
      <c r="O288" s="304"/>
      <c r="P288" s="304"/>
      <c r="Q288" s="199"/>
      <c r="R288" s="199"/>
      <c r="S288" s="199"/>
      <c r="T288" s="199"/>
      <c r="U288" s="199"/>
      <c r="V288" s="199"/>
      <c r="W288" s="199"/>
      <c r="X288" s="199"/>
      <c r="Y288" s="199"/>
      <c r="Z288" s="199"/>
      <c r="AA288" s="199"/>
      <c r="AB288" s="199"/>
      <c r="AC288" s="309"/>
    </row>
    <row r="289" spans="1:29" ht="12.75" customHeight="1">
      <c r="A289" s="303"/>
      <c r="B289" s="304"/>
      <c r="C289" s="304"/>
      <c r="D289" s="304"/>
      <c r="E289" s="304"/>
      <c r="F289" s="304"/>
      <c r="G289" s="305"/>
      <c r="H289" s="304"/>
      <c r="I289" s="304"/>
      <c r="J289" s="304"/>
      <c r="K289" s="306"/>
      <c r="L289" s="304"/>
      <c r="M289" s="304"/>
      <c r="N289" s="304"/>
      <c r="O289" s="304"/>
      <c r="P289" s="304"/>
      <c r="Q289" s="199"/>
      <c r="R289" s="199"/>
      <c r="S289" s="199"/>
      <c r="T289" s="199"/>
      <c r="U289" s="199"/>
      <c r="V289" s="199"/>
      <c r="W289" s="199"/>
      <c r="X289" s="199"/>
      <c r="Y289" s="199"/>
      <c r="Z289" s="199"/>
      <c r="AA289" s="199"/>
      <c r="AB289" s="199"/>
      <c r="AC289" s="309"/>
    </row>
    <row r="290" spans="1:29" ht="12.75" customHeight="1">
      <c r="A290" s="303"/>
      <c r="B290" s="304"/>
      <c r="C290" s="304"/>
      <c r="D290" s="304"/>
      <c r="E290" s="304"/>
      <c r="F290" s="304"/>
      <c r="G290" s="305"/>
      <c r="H290" s="304"/>
      <c r="I290" s="304"/>
      <c r="J290" s="304"/>
      <c r="K290" s="306"/>
      <c r="L290" s="304"/>
      <c r="M290" s="304"/>
      <c r="N290" s="304"/>
      <c r="O290" s="304"/>
      <c r="P290" s="304"/>
      <c r="Q290" s="199"/>
      <c r="R290" s="199"/>
      <c r="S290" s="199"/>
      <c r="T290" s="199"/>
      <c r="U290" s="199"/>
      <c r="V290" s="199"/>
      <c r="W290" s="199"/>
      <c r="X290" s="199"/>
      <c r="Y290" s="199"/>
      <c r="Z290" s="199"/>
      <c r="AA290" s="199"/>
      <c r="AB290" s="199"/>
      <c r="AC290" s="309"/>
    </row>
    <row r="291" spans="1:29" ht="12.75" customHeight="1">
      <c r="A291" s="303"/>
      <c r="B291" s="304"/>
      <c r="C291" s="304"/>
      <c r="D291" s="304"/>
      <c r="E291" s="304"/>
      <c r="F291" s="304"/>
      <c r="G291" s="305"/>
      <c r="H291" s="304"/>
      <c r="I291" s="304"/>
      <c r="J291" s="304"/>
      <c r="K291" s="306"/>
      <c r="L291" s="304"/>
      <c r="M291" s="304"/>
      <c r="N291" s="304"/>
      <c r="O291" s="304"/>
      <c r="P291" s="304"/>
      <c r="Q291" s="199"/>
      <c r="R291" s="199"/>
      <c r="S291" s="199"/>
      <c r="T291" s="199"/>
      <c r="U291" s="199"/>
      <c r="V291" s="199"/>
      <c r="W291" s="199"/>
      <c r="X291" s="199"/>
      <c r="Y291" s="199"/>
      <c r="Z291" s="199"/>
      <c r="AA291" s="199"/>
      <c r="AB291" s="199"/>
      <c r="AC291" s="309"/>
    </row>
    <row r="292" spans="1:29" ht="12.75" customHeight="1">
      <c r="A292" s="303"/>
      <c r="B292" s="304"/>
      <c r="C292" s="304"/>
      <c r="D292" s="304"/>
      <c r="E292" s="304"/>
      <c r="F292" s="304"/>
      <c r="G292" s="305"/>
      <c r="H292" s="304"/>
      <c r="I292" s="304"/>
      <c r="J292" s="304"/>
      <c r="K292" s="306"/>
      <c r="L292" s="304"/>
      <c r="M292" s="304"/>
      <c r="N292" s="304"/>
      <c r="O292" s="304"/>
      <c r="P292" s="304"/>
      <c r="Q292" s="199"/>
      <c r="R292" s="199"/>
      <c r="S292" s="199"/>
      <c r="T292" s="199"/>
      <c r="U292" s="199"/>
      <c r="V292" s="199"/>
      <c r="W292" s="199"/>
      <c r="X292" s="199"/>
      <c r="Y292" s="199"/>
      <c r="Z292" s="199"/>
      <c r="AA292" s="199"/>
      <c r="AB292" s="199"/>
      <c r="AC292" s="309"/>
    </row>
    <row r="293" spans="1:29" ht="12.75" customHeight="1">
      <c r="A293" s="303"/>
      <c r="B293" s="304"/>
      <c r="C293" s="304"/>
      <c r="D293" s="304"/>
      <c r="E293" s="304"/>
      <c r="F293" s="304"/>
      <c r="G293" s="305"/>
      <c r="H293" s="304"/>
      <c r="I293" s="304"/>
      <c r="J293" s="304"/>
      <c r="K293" s="306"/>
      <c r="L293" s="304"/>
      <c r="M293" s="304"/>
      <c r="N293" s="304"/>
      <c r="O293" s="304"/>
      <c r="P293" s="304"/>
      <c r="Q293" s="199"/>
      <c r="R293" s="199"/>
      <c r="S293" s="199"/>
      <c r="T293" s="199"/>
      <c r="U293" s="199"/>
      <c r="V293" s="199"/>
      <c r="W293" s="199"/>
      <c r="X293" s="199"/>
      <c r="Y293" s="199"/>
      <c r="Z293" s="199"/>
      <c r="AA293" s="199"/>
      <c r="AB293" s="199"/>
      <c r="AC293" s="309"/>
    </row>
    <row r="294" spans="1:29" ht="12.75" customHeight="1">
      <c r="A294" s="303"/>
      <c r="B294" s="304"/>
      <c r="C294" s="304"/>
      <c r="D294" s="304"/>
      <c r="E294" s="304"/>
      <c r="F294" s="304"/>
      <c r="G294" s="305"/>
      <c r="H294" s="304"/>
      <c r="I294" s="304"/>
      <c r="J294" s="304"/>
      <c r="K294" s="306"/>
      <c r="L294" s="304"/>
      <c r="M294" s="304"/>
      <c r="N294" s="304"/>
      <c r="O294" s="304"/>
      <c r="P294" s="304"/>
      <c r="Q294" s="199"/>
      <c r="R294" s="199"/>
      <c r="S294" s="199"/>
      <c r="T294" s="199"/>
      <c r="U294" s="199"/>
      <c r="V294" s="199"/>
      <c r="W294" s="199"/>
      <c r="X294" s="199"/>
      <c r="Y294" s="199"/>
      <c r="Z294" s="199"/>
      <c r="AA294" s="199"/>
      <c r="AB294" s="199"/>
      <c r="AC294" s="309"/>
    </row>
    <row r="295" spans="1:29" ht="12.75" customHeight="1">
      <c r="A295" s="303"/>
      <c r="B295" s="304"/>
      <c r="C295" s="304"/>
      <c r="D295" s="304"/>
      <c r="E295" s="304"/>
      <c r="F295" s="304"/>
      <c r="G295" s="305"/>
      <c r="H295" s="304"/>
      <c r="I295" s="304"/>
      <c r="J295" s="304"/>
      <c r="K295" s="306"/>
      <c r="L295" s="304"/>
      <c r="M295" s="304"/>
      <c r="N295" s="304"/>
      <c r="O295" s="304"/>
      <c r="P295" s="304"/>
      <c r="Q295" s="199"/>
      <c r="R295" s="199"/>
      <c r="S295" s="199"/>
      <c r="T295" s="199"/>
      <c r="U295" s="199"/>
      <c r="V295" s="199"/>
      <c r="W295" s="199"/>
      <c r="X295" s="199"/>
      <c r="Y295" s="199"/>
      <c r="Z295" s="199"/>
      <c r="AA295" s="199"/>
      <c r="AB295" s="199"/>
      <c r="AC295" s="309"/>
    </row>
    <row r="296" spans="1:29" ht="12.75" customHeight="1">
      <c r="A296" s="303"/>
      <c r="B296" s="304"/>
      <c r="C296" s="304"/>
      <c r="D296" s="304"/>
      <c r="E296" s="304"/>
      <c r="F296" s="304"/>
      <c r="G296" s="305"/>
      <c r="H296" s="304"/>
      <c r="I296" s="304"/>
      <c r="J296" s="304"/>
      <c r="K296" s="306"/>
      <c r="L296" s="304"/>
      <c r="M296" s="304"/>
      <c r="N296" s="304"/>
      <c r="O296" s="304"/>
      <c r="P296" s="304"/>
      <c r="Q296" s="199"/>
      <c r="R296" s="199"/>
      <c r="S296" s="199"/>
      <c r="T296" s="199"/>
      <c r="U296" s="199"/>
      <c r="V296" s="199"/>
      <c r="W296" s="199"/>
      <c r="X296" s="199"/>
      <c r="Y296" s="199"/>
      <c r="Z296" s="199"/>
      <c r="AA296" s="199"/>
      <c r="AB296" s="199"/>
      <c r="AC296" s="309"/>
    </row>
    <row r="297" spans="1:29" ht="12.75" customHeight="1">
      <c r="A297" s="303"/>
      <c r="B297" s="304"/>
      <c r="C297" s="304"/>
      <c r="D297" s="304"/>
      <c r="E297" s="304"/>
      <c r="F297" s="304"/>
      <c r="G297" s="305"/>
      <c r="H297" s="304"/>
      <c r="I297" s="304"/>
      <c r="J297" s="304"/>
      <c r="K297" s="306"/>
      <c r="L297" s="304"/>
      <c r="M297" s="304"/>
      <c r="N297" s="304"/>
      <c r="O297" s="304"/>
      <c r="P297" s="304"/>
      <c r="Q297" s="199"/>
      <c r="R297" s="199"/>
      <c r="S297" s="199"/>
      <c r="T297" s="199"/>
      <c r="U297" s="199"/>
      <c r="V297" s="199"/>
      <c r="W297" s="199"/>
      <c r="X297" s="199"/>
      <c r="Y297" s="199"/>
      <c r="Z297" s="199"/>
      <c r="AA297" s="199"/>
      <c r="AB297" s="199"/>
      <c r="AC297" s="309"/>
    </row>
    <row r="298" spans="1:29" ht="12.75" customHeight="1">
      <c r="A298" s="303"/>
      <c r="B298" s="304"/>
      <c r="C298" s="304"/>
      <c r="D298" s="304"/>
      <c r="E298" s="304"/>
      <c r="F298" s="304"/>
      <c r="G298" s="305"/>
      <c r="H298" s="304"/>
      <c r="I298" s="304"/>
      <c r="J298" s="304"/>
      <c r="K298" s="306"/>
      <c r="L298" s="304"/>
      <c r="M298" s="304"/>
      <c r="N298" s="304"/>
      <c r="O298" s="304"/>
      <c r="P298" s="304"/>
      <c r="Q298" s="199"/>
      <c r="R298" s="199"/>
      <c r="S298" s="199"/>
      <c r="T298" s="199"/>
      <c r="U298" s="199"/>
      <c r="V298" s="199"/>
      <c r="W298" s="199"/>
      <c r="X298" s="199"/>
      <c r="Y298" s="199"/>
      <c r="Z298" s="199"/>
      <c r="AA298" s="199"/>
      <c r="AB298" s="199"/>
      <c r="AC298" s="309"/>
    </row>
    <row r="299" spans="1:29" ht="12.75" customHeight="1">
      <c r="A299" s="303"/>
      <c r="B299" s="304"/>
      <c r="C299" s="304"/>
      <c r="D299" s="304"/>
      <c r="E299" s="304"/>
      <c r="F299" s="304"/>
      <c r="G299" s="305"/>
      <c r="H299" s="304"/>
      <c r="I299" s="304"/>
      <c r="J299" s="304"/>
      <c r="K299" s="306"/>
      <c r="L299" s="304"/>
      <c r="M299" s="304"/>
      <c r="N299" s="304"/>
      <c r="O299" s="304"/>
      <c r="P299" s="304"/>
      <c r="Q299" s="199"/>
      <c r="R299" s="199"/>
      <c r="S299" s="199"/>
      <c r="T299" s="199"/>
      <c r="U299" s="199"/>
      <c r="V299" s="199"/>
      <c r="W299" s="199"/>
      <c r="X299" s="199"/>
      <c r="Y299" s="199"/>
      <c r="Z299" s="199"/>
      <c r="AA299" s="199"/>
      <c r="AB299" s="199"/>
      <c r="AC299" s="309"/>
    </row>
    <row r="300" spans="1:29" ht="12.75" customHeight="1">
      <c r="A300" s="303"/>
      <c r="B300" s="304"/>
      <c r="C300" s="304"/>
      <c r="D300" s="304"/>
      <c r="E300" s="304"/>
      <c r="F300" s="304"/>
      <c r="G300" s="305"/>
      <c r="H300" s="304"/>
      <c r="I300" s="304"/>
      <c r="J300" s="304"/>
      <c r="K300" s="306"/>
      <c r="L300" s="304"/>
      <c r="M300" s="304"/>
      <c r="N300" s="304"/>
      <c r="O300" s="304"/>
      <c r="P300" s="304"/>
      <c r="Q300" s="199"/>
      <c r="R300" s="199"/>
      <c r="S300" s="199"/>
      <c r="T300" s="199"/>
      <c r="U300" s="199"/>
      <c r="V300" s="199"/>
      <c r="W300" s="199"/>
      <c r="X300" s="199"/>
      <c r="Y300" s="199"/>
      <c r="Z300" s="199"/>
      <c r="AA300" s="199"/>
      <c r="AB300" s="199"/>
      <c r="AC300" s="309"/>
    </row>
    <row r="301" spans="1:29" ht="12.75" customHeight="1">
      <c r="A301" s="303"/>
      <c r="B301" s="304"/>
      <c r="C301" s="304"/>
      <c r="D301" s="304"/>
      <c r="E301" s="304"/>
      <c r="F301" s="304"/>
      <c r="G301" s="305"/>
      <c r="H301" s="304"/>
      <c r="I301" s="304"/>
      <c r="J301" s="304"/>
      <c r="K301" s="306"/>
      <c r="L301" s="304"/>
      <c r="M301" s="304"/>
      <c r="N301" s="304"/>
      <c r="O301" s="304"/>
      <c r="P301" s="304"/>
      <c r="Q301" s="199"/>
      <c r="R301" s="199"/>
      <c r="S301" s="199"/>
      <c r="T301" s="199"/>
      <c r="U301" s="199"/>
      <c r="V301" s="199"/>
      <c r="W301" s="199"/>
      <c r="X301" s="199"/>
      <c r="Y301" s="199"/>
      <c r="Z301" s="199"/>
      <c r="AA301" s="199"/>
      <c r="AB301" s="199"/>
      <c r="AC301" s="309"/>
    </row>
    <row r="302" spans="1:29" ht="12.75" customHeight="1">
      <c r="A302" s="303"/>
      <c r="B302" s="304"/>
      <c r="C302" s="304"/>
      <c r="D302" s="304"/>
      <c r="E302" s="304"/>
      <c r="F302" s="304"/>
      <c r="G302" s="305"/>
      <c r="H302" s="304"/>
      <c r="I302" s="304"/>
      <c r="J302" s="304"/>
      <c r="K302" s="306"/>
      <c r="L302" s="304"/>
      <c r="M302" s="304"/>
      <c r="N302" s="304"/>
      <c r="O302" s="304"/>
      <c r="P302" s="304"/>
      <c r="Q302" s="199"/>
      <c r="R302" s="199"/>
      <c r="S302" s="199"/>
      <c r="T302" s="199"/>
      <c r="U302" s="199"/>
      <c r="V302" s="199"/>
      <c r="W302" s="199"/>
      <c r="X302" s="199"/>
      <c r="Y302" s="199"/>
      <c r="Z302" s="199"/>
      <c r="AA302" s="199"/>
      <c r="AB302" s="199"/>
      <c r="AC302" s="309"/>
    </row>
    <row r="303" spans="1:29" ht="12.75" customHeight="1">
      <c r="A303" s="303"/>
      <c r="B303" s="304"/>
      <c r="C303" s="304"/>
      <c r="D303" s="304"/>
      <c r="E303" s="304"/>
      <c r="F303" s="304"/>
      <c r="G303" s="305"/>
      <c r="H303" s="304"/>
      <c r="I303" s="304"/>
      <c r="J303" s="304"/>
      <c r="K303" s="306"/>
      <c r="L303" s="304"/>
      <c r="M303" s="304"/>
      <c r="N303" s="304"/>
      <c r="O303" s="304"/>
      <c r="P303" s="304"/>
      <c r="Q303" s="199"/>
      <c r="R303" s="199"/>
      <c r="S303" s="199"/>
      <c r="T303" s="199"/>
      <c r="U303" s="199"/>
      <c r="V303" s="199"/>
      <c r="W303" s="199"/>
      <c r="X303" s="199"/>
      <c r="Y303" s="199"/>
      <c r="Z303" s="199"/>
      <c r="AA303" s="199"/>
      <c r="AB303" s="199"/>
      <c r="AC303" s="309"/>
    </row>
    <row r="304" spans="1:29" ht="12.75" customHeight="1">
      <c r="A304" s="303"/>
      <c r="B304" s="304"/>
      <c r="C304" s="304"/>
      <c r="D304" s="304"/>
      <c r="E304" s="304"/>
      <c r="F304" s="304"/>
      <c r="G304" s="305"/>
      <c r="H304" s="304"/>
      <c r="I304" s="304"/>
      <c r="J304" s="304"/>
      <c r="K304" s="306"/>
      <c r="L304" s="304"/>
      <c r="M304" s="304"/>
      <c r="N304" s="304"/>
      <c r="O304" s="304"/>
      <c r="P304" s="304"/>
      <c r="Q304" s="199"/>
      <c r="R304" s="199"/>
      <c r="S304" s="199"/>
      <c r="T304" s="199"/>
      <c r="U304" s="199"/>
      <c r="V304" s="199"/>
      <c r="W304" s="199"/>
      <c r="X304" s="199"/>
      <c r="Y304" s="199"/>
      <c r="Z304" s="199"/>
      <c r="AA304" s="199"/>
      <c r="AB304" s="199"/>
      <c r="AC304" s="309"/>
    </row>
    <row r="305" spans="1:29" ht="12.75" customHeight="1">
      <c r="A305" s="303"/>
      <c r="B305" s="304"/>
      <c r="C305" s="304"/>
      <c r="D305" s="304"/>
      <c r="E305" s="304"/>
      <c r="F305" s="304"/>
      <c r="G305" s="305"/>
      <c r="H305" s="304"/>
      <c r="I305" s="304"/>
      <c r="J305" s="304"/>
      <c r="K305" s="306"/>
      <c r="L305" s="304"/>
      <c r="M305" s="304"/>
      <c r="N305" s="304"/>
      <c r="O305" s="304"/>
      <c r="P305" s="304"/>
      <c r="Q305" s="199"/>
      <c r="R305" s="199"/>
      <c r="S305" s="199"/>
      <c r="T305" s="199"/>
      <c r="U305" s="199"/>
      <c r="V305" s="199"/>
      <c r="W305" s="199"/>
      <c r="X305" s="199"/>
      <c r="Y305" s="199"/>
      <c r="Z305" s="199"/>
      <c r="AA305" s="199"/>
      <c r="AB305" s="199"/>
      <c r="AC305" s="309"/>
    </row>
    <row r="306" spans="1:29" ht="12.75" customHeight="1">
      <c r="A306" s="303"/>
      <c r="B306" s="304"/>
      <c r="C306" s="304"/>
      <c r="D306" s="304"/>
      <c r="E306" s="304"/>
      <c r="F306" s="304"/>
      <c r="G306" s="305"/>
      <c r="H306" s="304"/>
      <c r="I306" s="304"/>
      <c r="J306" s="304"/>
      <c r="K306" s="306"/>
      <c r="L306" s="304"/>
      <c r="M306" s="304"/>
      <c r="N306" s="304"/>
      <c r="O306" s="304"/>
      <c r="P306" s="304"/>
      <c r="Q306" s="199"/>
      <c r="R306" s="199"/>
      <c r="S306" s="199"/>
      <c r="T306" s="199"/>
      <c r="U306" s="199"/>
      <c r="V306" s="199"/>
      <c r="W306" s="199"/>
      <c r="X306" s="199"/>
      <c r="Y306" s="199"/>
      <c r="Z306" s="199"/>
      <c r="AA306" s="199"/>
      <c r="AB306" s="199"/>
      <c r="AC306" s="309"/>
    </row>
    <row r="307" spans="1:29" ht="12.75" customHeight="1">
      <c r="A307" s="303"/>
      <c r="B307" s="304"/>
      <c r="C307" s="304"/>
      <c r="D307" s="304"/>
      <c r="E307" s="304"/>
      <c r="F307" s="304"/>
      <c r="G307" s="305"/>
      <c r="H307" s="304"/>
      <c r="I307" s="304"/>
      <c r="J307" s="304"/>
      <c r="K307" s="306"/>
      <c r="L307" s="304"/>
      <c r="M307" s="304"/>
      <c r="N307" s="304"/>
      <c r="O307" s="304"/>
      <c r="P307" s="304"/>
      <c r="Q307" s="199"/>
      <c r="R307" s="199"/>
      <c r="S307" s="199"/>
      <c r="T307" s="199"/>
      <c r="U307" s="199"/>
      <c r="V307" s="199"/>
      <c r="W307" s="199"/>
      <c r="X307" s="199"/>
      <c r="Y307" s="199"/>
      <c r="Z307" s="199"/>
      <c r="AA307" s="199"/>
      <c r="AB307" s="199"/>
      <c r="AC307" s="309"/>
    </row>
    <row r="308" spans="1:29" ht="12.75" customHeight="1">
      <c r="A308" s="303"/>
      <c r="B308" s="304"/>
      <c r="C308" s="304"/>
      <c r="D308" s="304"/>
      <c r="E308" s="304"/>
      <c r="F308" s="304"/>
      <c r="G308" s="305"/>
      <c r="H308" s="304"/>
      <c r="I308" s="304"/>
      <c r="J308" s="304"/>
      <c r="K308" s="306"/>
      <c r="L308" s="304"/>
      <c r="M308" s="304"/>
      <c r="N308" s="304"/>
      <c r="O308" s="304"/>
      <c r="P308" s="304"/>
      <c r="Q308" s="199"/>
      <c r="R308" s="199"/>
      <c r="S308" s="199"/>
      <c r="T308" s="199"/>
      <c r="U308" s="199"/>
      <c r="V308" s="199"/>
      <c r="W308" s="199"/>
      <c r="X308" s="199"/>
      <c r="Y308" s="199"/>
      <c r="Z308" s="199"/>
      <c r="AA308" s="199"/>
      <c r="AB308" s="199"/>
      <c r="AC308" s="309"/>
    </row>
    <row r="309" spans="1:29" ht="12.75" customHeight="1">
      <c r="A309" s="303"/>
      <c r="B309" s="304"/>
      <c r="C309" s="304"/>
      <c r="D309" s="304"/>
      <c r="E309" s="304"/>
      <c r="F309" s="304"/>
      <c r="G309" s="305"/>
      <c r="H309" s="304"/>
      <c r="I309" s="304"/>
      <c r="J309" s="304"/>
      <c r="K309" s="306"/>
      <c r="L309" s="304"/>
      <c r="M309" s="304"/>
      <c r="N309" s="304"/>
      <c r="O309" s="304"/>
      <c r="P309" s="304"/>
      <c r="Q309" s="199"/>
      <c r="R309" s="199"/>
      <c r="S309" s="199"/>
      <c r="T309" s="199"/>
      <c r="U309" s="199"/>
      <c r="V309" s="199"/>
      <c r="W309" s="199"/>
      <c r="X309" s="199"/>
      <c r="Y309" s="199"/>
      <c r="Z309" s="199"/>
      <c r="AA309" s="199"/>
      <c r="AB309" s="199"/>
      <c r="AC309" s="309"/>
    </row>
    <row r="310" spans="1:29" ht="12.75" customHeight="1">
      <c r="A310" s="303"/>
      <c r="B310" s="304"/>
      <c r="C310" s="304"/>
      <c r="D310" s="304"/>
      <c r="E310" s="304"/>
      <c r="F310" s="304"/>
      <c r="G310" s="305"/>
      <c r="H310" s="304"/>
      <c r="I310" s="304"/>
      <c r="J310" s="304"/>
      <c r="K310" s="306"/>
      <c r="L310" s="304"/>
      <c r="M310" s="304"/>
      <c r="N310" s="304"/>
      <c r="O310" s="304"/>
      <c r="P310" s="304"/>
      <c r="Q310" s="199"/>
      <c r="R310" s="199"/>
      <c r="S310" s="199"/>
      <c r="T310" s="199"/>
      <c r="U310" s="199"/>
      <c r="V310" s="199"/>
      <c r="W310" s="199"/>
      <c r="X310" s="199"/>
      <c r="Y310" s="199"/>
      <c r="Z310" s="199"/>
      <c r="AA310" s="199"/>
      <c r="AB310" s="199"/>
      <c r="AC310" s="309"/>
    </row>
    <row r="311" spans="1:29" ht="12.75" customHeight="1">
      <c r="A311" s="303"/>
      <c r="B311" s="304"/>
      <c r="C311" s="304"/>
      <c r="D311" s="304"/>
      <c r="E311" s="304"/>
      <c r="F311" s="304"/>
      <c r="G311" s="305"/>
      <c r="H311" s="304"/>
      <c r="I311" s="304"/>
      <c r="J311" s="304"/>
      <c r="K311" s="306"/>
      <c r="L311" s="304"/>
      <c r="M311" s="304"/>
      <c r="N311" s="304"/>
      <c r="O311" s="304"/>
      <c r="P311" s="304"/>
      <c r="Q311" s="199"/>
      <c r="R311" s="199"/>
      <c r="S311" s="199"/>
      <c r="T311" s="199"/>
      <c r="U311" s="199"/>
      <c r="V311" s="199"/>
      <c r="W311" s="199"/>
      <c r="X311" s="199"/>
      <c r="Y311" s="199"/>
      <c r="Z311" s="199"/>
      <c r="AA311" s="199"/>
      <c r="AB311" s="199"/>
      <c r="AC311" s="309"/>
    </row>
    <row r="312" spans="1:29" ht="12.75" customHeight="1">
      <c r="A312" s="303"/>
      <c r="B312" s="304"/>
      <c r="C312" s="304"/>
      <c r="D312" s="304"/>
      <c r="E312" s="304"/>
      <c r="F312" s="304"/>
      <c r="G312" s="305"/>
      <c r="H312" s="304"/>
      <c r="I312" s="304"/>
      <c r="J312" s="304"/>
      <c r="K312" s="306"/>
      <c r="L312" s="304"/>
      <c r="M312" s="304"/>
      <c r="N312" s="304"/>
      <c r="O312" s="304"/>
      <c r="P312" s="304"/>
      <c r="Q312" s="199"/>
      <c r="R312" s="199"/>
      <c r="S312" s="199"/>
      <c r="T312" s="199"/>
      <c r="U312" s="199"/>
      <c r="V312" s="199"/>
      <c r="W312" s="199"/>
      <c r="X312" s="199"/>
      <c r="Y312" s="199"/>
      <c r="Z312" s="199"/>
      <c r="AA312" s="199"/>
      <c r="AB312" s="199"/>
      <c r="AC312" s="309"/>
    </row>
    <row r="313" spans="1:29" ht="12.75" customHeight="1">
      <c r="A313" s="303"/>
      <c r="B313" s="304"/>
      <c r="C313" s="304"/>
      <c r="D313" s="304"/>
      <c r="E313" s="304"/>
      <c r="F313" s="304"/>
      <c r="G313" s="305"/>
      <c r="H313" s="304"/>
      <c r="I313" s="304"/>
      <c r="J313" s="304"/>
      <c r="K313" s="306"/>
      <c r="L313" s="304"/>
      <c r="M313" s="304"/>
      <c r="N313" s="304"/>
      <c r="O313" s="304"/>
      <c r="P313" s="304"/>
      <c r="Q313" s="199"/>
      <c r="R313" s="199"/>
      <c r="S313" s="199"/>
      <c r="T313" s="199"/>
      <c r="U313" s="199"/>
      <c r="V313" s="199"/>
      <c r="W313" s="199"/>
      <c r="X313" s="199"/>
      <c r="Y313" s="199"/>
      <c r="Z313" s="199"/>
      <c r="AA313" s="199"/>
      <c r="AB313" s="199"/>
      <c r="AC313" s="309"/>
    </row>
    <row r="314" spans="1:29" ht="12.75" customHeight="1">
      <c r="A314" s="303"/>
      <c r="B314" s="304"/>
      <c r="C314" s="304"/>
      <c r="D314" s="304"/>
      <c r="E314" s="304"/>
      <c r="F314" s="304"/>
      <c r="G314" s="305"/>
      <c r="H314" s="304"/>
      <c r="I314" s="304"/>
      <c r="J314" s="304"/>
      <c r="K314" s="306"/>
      <c r="L314" s="304"/>
      <c r="M314" s="304"/>
      <c r="N314" s="304"/>
      <c r="O314" s="304"/>
      <c r="P314" s="304"/>
      <c r="Q314" s="199"/>
      <c r="R314" s="199"/>
      <c r="S314" s="199"/>
      <c r="T314" s="199"/>
      <c r="U314" s="199"/>
      <c r="V314" s="199"/>
      <c r="W314" s="199"/>
      <c r="X314" s="199"/>
      <c r="Y314" s="199"/>
      <c r="Z314" s="199"/>
      <c r="AA314" s="199"/>
      <c r="AB314" s="199"/>
      <c r="AC314" s="309"/>
    </row>
    <row r="315" spans="1:29" ht="12.75" customHeight="1">
      <c r="A315" s="303"/>
      <c r="B315" s="304"/>
      <c r="C315" s="304"/>
      <c r="D315" s="304"/>
      <c r="E315" s="304"/>
      <c r="F315" s="304"/>
      <c r="G315" s="305"/>
      <c r="H315" s="304"/>
      <c r="I315" s="304"/>
      <c r="J315" s="304"/>
      <c r="K315" s="306"/>
      <c r="L315" s="304"/>
      <c r="M315" s="304"/>
      <c r="N315" s="304"/>
      <c r="O315" s="304"/>
      <c r="P315" s="304"/>
      <c r="Q315" s="199"/>
      <c r="R315" s="199"/>
      <c r="S315" s="199"/>
      <c r="T315" s="199"/>
      <c r="U315" s="199"/>
      <c r="V315" s="199"/>
      <c r="W315" s="199"/>
      <c r="X315" s="199"/>
      <c r="Y315" s="199"/>
      <c r="Z315" s="199"/>
      <c r="AA315" s="199"/>
      <c r="AB315" s="199"/>
      <c r="AC315" s="309"/>
    </row>
    <row r="316" spans="1:29" ht="12.75" customHeight="1">
      <c r="A316" s="303"/>
      <c r="B316" s="304"/>
      <c r="C316" s="304"/>
      <c r="D316" s="304"/>
      <c r="E316" s="304"/>
      <c r="F316" s="304"/>
      <c r="G316" s="305"/>
      <c r="H316" s="304"/>
      <c r="I316" s="304"/>
      <c r="J316" s="304"/>
      <c r="K316" s="306"/>
      <c r="L316" s="304"/>
      <c r="M316" s="304"/>
      <c r="N316" s="304"/>
      <c r="O316" s="304"/>
      <c r="P316" s="304"/>
      <c r="Q316" s="199"/>
      <c r="R316" s="199"/>
      <c r="S316" s="199"/>
      <c r="T316" s="199"/>
      <c r="U316" s="199"/>
      <c r="V316" s="199"/>
      <c r="W316" s="199"/>
      <c r="X316" s="199"/>
      <c r="Y316" s="199"/>
      <c r="Z316" s="199"/>
      <c r="AA316" s="199"/>
      <c r="AB316" s="199"/>
      <c r="AC316" s="309"/>
    </row>
    <row r="317" spans="1:29" ht="12.75" customHeight="1">
      <c r="A317" s="303"/>
      <c r="B317" s="304"/>
      <c r="C317" s="304"/>
      <c r="D317" s="304"/>
      <c r="E317" s="304"/>
      <c r="F317" s="304"/>
      <c r="G317" s="305"/>
      <c r="H317" s="304"/>
      <c r="I317" s="304"/>
      <c r="J317" s="304"/>
      <c r="K317" s="306"/>
      <c r="L317" s="304"/>
      <c r="M317" s="304"/>
      <c r="N317" s="304"/>
      <c r="O317" s="304"/>
      <c r="P317" s="304"/>
      <c r="Q317" s="199"/>
      <c r="R317" s="199"/>
      <c r="S317" s="199"/>
      <c r="T317" s="199"/>
      <c r="U317" s="199"/>
      <c r="V317" s="199"/>
      <c r="W317" s="199"/>
      <c r="X317" s="199"/>
      <c r="Y317" s="199"/>
      <c r="Z317" s="199"/>
      <c r="AA317" s="199"/>
      <c r="AB317" s="199"/>
      <c r="AC317" s="309"/>
    </row>
    <row r="318" spans="1:29" ht="12.75" customHeight="1">
      <c r="A318" s="303"/>
      <c r="B318" s="304"/>
      <c r="C318" s="304"/>
      <c r="D318" s="304"/>
      <c r="E318" s="304"/>
      <c r="F318" s="304"/>
      <c r="G318" s="305"/>
      <c r="H318" s="304"/>
      <c r="I318" s="304"/>
      <c r="J318" s="304"/>
      <c r="K318" s="306"/>
      <c r="L318" s="304"/>
      <c r="M318" s="304"/>
      <c r="N318" s="304"/>
      <c r="O318" s="304"/>
      <c r="P318" s="304"/>
      <c r="Q318" s="199"/>
      <c r="R318" s="199"/>
      <c r="S318" s="199"/>
      <c r="T318" s="199"/>
      <c r="U318" s="199"/>
      <c r="V318" s="199"/>
      <c r="W318" s="199"/>
      <c r="X318" s="199"/>
      <c r="Y318" s="199"/>
      <c r="Z318" s="199"/>
      <c r="AA318" s="199"/>
      <c r="AB318" s="199"/>
      <c r="AC318" s="309"/>
    </row>
    <row r="319" spans="1:29" ht="12.75" customHeight="1">
      <c r="A319" s="303"/>
      <c r="B319" s="304"/>
      <c r="C319" s="304"/>
      <c r="D319" s="304"/>
      <c r="E319" s="304"/>
      <c r="F319" s="304"/>
      <c r="G319" s="305"/>
      <c r="H319" s="304"/>
      <c r="I319" s="304"/>
      <c r="J319" s="304"/>
      <c r="K319" s="306"/>
      <c r="L319" s="304"/>
      <c r="M319" s="304"/>
      <c r="N319" s="304"/>
      <c r="O319" s="304"/>
      <c r="P319" s="304"/>
      <c r="Q319" s="199"/>
      <c r="R319" s="199"/>
      <c r="S319" s="199"/>
      <c r="T319" s="199"/>
      <c r="U319" s="199"/>
      <c r="V319" s="199"/>
      <c r="W319" s="199"/>
      <c r="X319" s="199"/>
      <c r="Y319" s="199"/>
      <c r="Z319" s="199"/>
      <c r="AA319" s="199"/>
      <c r="AB319" s="199"/>
      <c r="AC319" s="309"/>
    </row>
    <row r="320" spans="1:29" ht="12.75" customHeight="1">
      <c r="A320" s="303"/>
      <c r="B320" s="304"/>
      <c r="C320" s="304"/>
      <c r="D320" s="304"/>
      <c r="E320" s="304"/>
      <c r="F320" s="304"/>
      <c r="G320" s="305"/>
      <c r="H320" s="304"/>
      <c r="I320" s="304"/>
      <c r="J320" s="304"/>
      <c r="K320" s="306"/>
      <c r="L320" s="304"/>
      <c r="M320" s="304"/>
      <c r="N320" s="304"/>
      <c r="O320" s="304"/>
      <c r="P320" s="304"/>
      <c r="Q320" s="199"/>
      <c r="R320" s="199"/>
      <c r="S320" s="199"/>
      <c r="T320" s="199"/>
      <c r="U320" s="199"/>
      <c r="V320" s="199"/>
      <c r="W320" s="199"/>
      <c r="X320" s="199"/>
      <c r="Y320" s="199"/>
      <c r="Z320" s="199"/>
      <c r="AA320" s="199"/>
      <c r="AB320" s="199"/>
      <c r="AC320" s="309"/>
    </row>
    <row r="321" spans="1:29" ht="12.75" customHeight="1">
      <c r="A321" s="303"/>
      <c r="B321" s="304"/>
      <c r="C321" s="304"/>
      <c r="D321" s="304"/>
      <c r="E321" s="304"/>
      <c r="F321" s="304"/>
      <c r="G321" s="305"/>
      <c r="H321" s="304"/>
      <c r="I321" s="304"/>
      <c r="J321" s="304"/>
      <c r="K321" s="306"/>
      <c r="L321" s="304"/>
      <c r="M321" s="304"/>
      <c r="N321" s="304"/>
      <c r="O321" s="304"/>
      <c r="P321" s="304"/>
      <c r="Q321" s="199"/>
      <c r="R321" s="199"/>
      <c r="S321" s="199"/>
      <c r="T321" s="199"/>
      <c r="U321" s="199"/>
      <c r="V321" s="199"/>
      <c r="W321" s="199"/>
      <c r="X321" s="199"/>
      <c r="Y321" s="199"/>
      <c r="Z321" s="199"/>
      <c r="AA321" s="199"/>
      <c r="AB321" s="199"/>
      <c r="AC321" s="309"/>
    </row>
    <row r="322" spans="1:29" ht="12.75" customHeight="1">
      <c r="A322" s="303"/>
      <c r="B322" s="304"/>
      <c r="C322" s="304"/>
      <c r="D322" s="304"/>
      <c r="E322" s="304"/>
      <c r="F322" s="304"/>
      <c r="G322" s="305"/>
      <c r="H322" s="304"/>
      <c r="I322" s="304"/>
      <c r="J322" s="304"/>
      <c r="K322" s="306"/>
      <c r="L322" s="304"/>
      <c r="M322" s="304"/>
      <c r="N322" s="304"/>
      <c r="O322" s="304"/>
      <c r="P322" s="304"/>
      <c r="Q322" s="199"/>
      <c r="R322" s="199"/>
      <c r="S322" s="199"/>
      <c r="T322" s="199"/>
      <c r="U322" s="199"/>
      <c r="V322" s="199"/>
      <c r="W322" s="199"/>
      <c r="X322" s="199"/>
      <c r="Y322" s="199"/>
      <c r="Z322" s="199"/>
      <c r="AA322" s="199"/>
      <c r="AB322" s="199"/>
      <c r="AC322" s="309"/>
    </row>
    <row r="323" spans="1:29" ht="12.75" customHeight="1">
      <c r="A323" s="303"/>
      <c r="B323" s="304"/>
      <c r="C323" s="304"/>
      <c r="D323" s="304"/>
      <c r="E323" s="304"/>
      <c r="F323" s="304"/>
      <c r="G323" s="305"/>
      <c r="H323" s="304"/>
      <c r="I323" s="304"/>
      <c r="J323" s="304"/>
      <c r="K323" s="306"/>
      <c r="L323" s="304"/>
      <c r="M323" s="304"/>
      <c r="N323" s="304"/>
      <c r="O323" s="304"/>
      <c r="P323" s="304"/>
      <c r="Q323" s="199"/>
      <c r="R323" s="199"/>
      <c r="S323" s="199"/>
      <c r="T323" s="199"/>
      <c r="U323" s="199"/>
      <c r="V323" s="199"/>
      <c r="W323" s="199"/>
      <c r="X323" s="199"/>
      <c r="Y323" s="199"/>
      <c r="Z323" s="199"/>
      <c r="AA323" s="199"/>
      <c r="AB323" s="199"/>
      <c r="AC323" s="309"/>
    </row>
    <row r="324" spans="1:29" ht="12.75" customHeight="1">
      <c r="A324" s="303"/>
      <c r="B324" s="304"/>
      <c r="C324" s="304"/>
      <c r="D324" s="304"/>
      <c r="E324" s="304"/>
      <c r="F324" s="304"/>
      <c r="G324" s="305"/>
      <c r="H324" s="304"/>
      <c r="I324" s="304"/>
      <c r="J324" s="304"/>
      <c r="K324" s="306"/>
      <c r="L324" s="304"/>
      <c r="M324" s="304"/>
      <c r="N324" s="304"/>
      <c r="O324" s="304"/>
      <c r="P324" s="304"/>
      <c r="Q324" s="199"/>
      <c r="R324" s="199"/>
      <c r="S324" s="199"/>
      <c r="T324" s="199"/>
      <c r="U324" s="199"/>
      <c r="V324" s="199"/>
      <c r="W324" s="199"/>
      <c r="X324" s="199"/>
      <c r="Y324" s="199"/>
      <c r="Z324" s="199"/>
      <c r="AA324" s="199"/>
      <c r="AB324" s="199"/>
      <c r="AC324" s="309"/>
    </row>
    <row r="325" spans="1:29" ht="12.75" customHeight="1">
      <c r="A325" s="303"/>
      <c r="B325" s="304"/>
      <c r="C325" s="304"/>
      <c r="D325" s="304"/>
      <c r="E325" s="304"/>
      <c r="F325" s="304"/>
      <c r="G325" s="305"/>
      <c r="H325" s="304"/>
      <c r="I325" s="304"/>
      <c r="J325" s="304"/>
      <c r="K325" s="306"/>
      <c r="L325" s="304"/>
      <c r="M325" s="304"/>
      <c r="N325" s="304"/>
      <c r="O325" s="304"/>
      <c r="P325" s="304"/>
      <c r="Q325" s="199"/>
      <c r="R325" s="199"/>
      <c r="S325" s="199"/>
      <c r="T325" s="199"/>
      <c r="U325" s="199"/>
      <c r="V325" s="199"/>
      <c r="W325" s="199"/>
      <c r="X325" s="199"/>
      <c r="Y325" s="199"/>
      <c r="Z325" s="199"/>
      <c r="AA325" s="199"/>
      <c r="AB325" s="199"/>
      <c r="AC325" s="309"/>
    </row>
    <row r="326" spans="1:29" ht="12.75" customHeight="1">
      <c r="A326" s="303"/>
      <c r="B326" s="304"/>
      <c r="C326" s="304"/>
      <c r="D326" s="304"/>
      <c r="E326" s="304"/>
      <c r="F326" s="304"/>
      <c r="G326" s="305"/>
      <c r="H326" s="304"/>
      <c r="I326" s="304"/>
      <c r="J326" s="304"/>
      <c r="K326" s="306"/>
      <c r="L326" s="304"/>
      <c r="M326" s="304"/>
      <c r="N326" s="304"/>
      <c r="O326" s="304"/>
      <c r="P326" s="304"/>
      <c r="Q326" s="199"/>
      <c r="R326" s="199"/>
      <c r="S326" s="199"/>
      <c r="T326" s="199"/>
      <c r="U326" s="199"/>
      <c r="V326" s="199"/>
      <c r="W326" s="199"/>
      <c r="X326" s="199"/>
      <c r="Y326" s="199"/>
      <c r="Z326" s="199"/>
      <c r="AA326" s="199"/>
      <c r="AB326" s="199"/>
      <c r="AC326" s="309"/>
    </row>
    <row r="327" spans="1:29" ht="12.75" customHeight="1">
      <c r="A327" s="303"/>
      <c r="B327" s="304"/>
      <c r="C327" s="304"/>
      <c r="D327" s="304"/>
      <c r="E327" s="304"/>
      <c r="F327" s="304"/>
      <c r="G327" s="305"/>
      <c r="H327" s="304"/>
      <c r="I327" s="304"/>
      <c r="J327" s="304"/>
      <c r="K327" s="306"/>
      <c r="L327" s="304"/>
      <c r="M327" s="304"/>
      <c r="N327" s="304"/>
      <c r="O327" s="304"/>
      <c r="P327" s="304"/>
      <c r="Q327" s="199"/>
      <c r="R327" s="199"/>
      <c r="S327" s="199"/>
      <c r="T327" s="199"/>
      <c r="U327" s="199"/>
      <c r="V327" s="199"/>
      <c r="W327" s="199"/>
      <c r="X327" s="199"/>
      <c r="Y327" s="199"/>
      <c r="Z327" s="199"/>
      <c r="AA327" s="199"/>
      <c r="AB327" s="199"/>
      <c r="AC327" s="309"/>
    </row>
    <row r="328" spans="1:29" ht="12.75" customHeight="1">
      <c r="A328" s="303"/>
      <c r="B328" s="304"/>
      <c r="C328" s="304"/>
      <c r="D328" s="304"/>
      <c r="E328" s="304"/>
      <c r="F328" s="304"/>
      <c r="G328" s="305"/>
      <c r="H328" s="304"/>
      <c r="I328" s="304"/>
      <c r="J328" s="304"/>
      <c r="K328" s="306"/>
      <c r="L328" s="304"/>
      <c r="M328" s="304"/>
      <c r="N328" s="304"/>
      <c r="O328" s="304"/>
      <c r="P328" s="304"/>
      <c r="Q328" s="199"/>
      <c r="R328" s="199"/>
      <c r="S328" s="199"/>
      <c r="T328" s="199"/>
      <c r="U328" s="199"/>
      <c r="V328" s="199"/>
      <c r="W328" s="199"/>
      <c r="X328" s="199"/>
      <c r="Y328" s="199"/>
      <c r="Z328" s="199"/>
      <c r="AA328" s="199"/>
      <c r="AB328" s="199"/>
      <c r="AC328" s="309"/>
    </row>
    <row r="329" spans="1:29" ht="12.75" customHeight="1">
      <c r="A329" s="303"/>
      <c r="B329" s="304"/>
      <c r="C329" s="304"/>
      <c r="D329" s="304"/>
      <c r="E329" s="304"/>
      <c r="F329" s="304"/>
      <c r="G329" s="305"/>
      <c r="H329" s="304"/>
      <c r="I329" s="304"/>
      <c r="J329" s="304"/>
      <c r="K329" s="306"/>
      <c r="L329" s="304"/>
      <c r="M329" s="304"/>
      <c r="N329" s="304"/>
      <c r="O329" s="304"/>
      <c r="P329" s="304"/>
      <c r="Q329" s="199"/>
      <c r="R329" s="199"/>
      <c r="S329" s="199"/>
      <c r="T329" s="199"/>
      <c r="U329" s="199"/>
      <c r="V329" s="199"/>
      <c r="W329" s="199"/>
      <c r="X329" s="199"/>
      <c r="Y329" s="199"/>
      <c r="Z329" s="199"/>
      <c r="AA329" s="199"/>
      <c r="AB329" s="199"/>
      <c r="AC329" s="309"/>
    </row>
    <row r="330" spans="1:29" ht="12.75" customHeight="1">
      <c r="A330" s="303"/>
      <c r="B330" s="304"/>
      <c r="C330" s="304"/>
      <c r="D330" s="304"/>
      <c r="E330" s="304"/>
      <c r="F330" s="304"/>
      <c r="G330" s="305"/>
      <c r="H330" s="304"/>
      <c r="I330" s="304"/>
      <c r="J330" s="304"/>
      <c r="K330" s="306"/>
      <c r="L330" s="304"/>
      <c r="M330" s="304"/>
      <c r="N330" s="304"/>
      <c r="O330" s="304"/>
      <c r="P330" s="304"/>
      <c r="Q330" s="199"/>
      <c r="R330" s="199"/>
      <c r="S330" s="199"/>
      <c r="T330" s="199"/>
      <c r="U330" s="199"/>
      <c r="V330" s="199"/>
      <c r="W330" s="199"/>
      <c r="X330" s="199"/>
      <c r="Y330" s="199"/>
      <c r="Z330" s="199"/>
      <c r="AA330" s="199"/>
      <c r="AB330" s="199"/>
      <c r="AC330" s="309"/>
    </row>
    <row r="331" spans="1:29" ht="12.75" customHeight="1">
      <c r="A331" s="303"/>
      <c r="B331" s="304"/>
      <c r="C331" s="304"/>
      <c r="D331" s="304"/>
      <c r="E331" s="304"/>
      <c r="F331" s="304"/>
      <c r="G331" s="305"/>
      <c r="H331" s="304"/>
      <c r="I331" s="304"/>
      <c r="J331" s="304"/>
      <c r="K331" s="306"/>
      <c r="L331" s="304"/>
      <c r="M331" s="304"/>
      <c r="N331" s="304"/>
      <c r="O331" s="304"/>
      <c r="P331" s="304"/>
      <c r="Q331" s="199"/>
      <c r="R331" s="199"/>
      <c r="S331" s="199"/>
      <c r="T331" s="199"/>
      <c r="U331" s="199"/>
      <c r="V331" s="199"/>
      <c r="W331" s="199"/>
      <c r="X331" s="199"/>
      <c r="Y331" s="199"/>
      <c r="Z331" s="199"/>
      <c r="AA331" s="199"/>
      <c r="AB331" s="199"/>
      <c r="AC331" s="309"/>
    </row>
    <row r="332" spans="1:29" ht="12.75" customHeight="1">
      <c r="A332" s="303"/>
      <c r="B332" s="304"/>
      <c r="C332" s="304"/>
      <c r="D332" s="304"/>
      <c r="E332" s="304"/>
      <c r="F332" s="304"/>
      <c r="G332" s="305"/>
      <c r="H332" s="304"/>
      <c r="I332" s="304"/>
      <c r="J332" s="304"/>
      <c r="K332" s="306"/>
      <c r="L332" s="304"/>
      <c r="M332" s="304"/>
      <c r="N332" s="304"/>
      <c r="O332" s="304"/>
      <c r="P332" s="304"/>
      <c r="Q332" s="199"/>
      <c r="R332" s="199"/>
      <c r="S332" s="199"/>
      <c r="T332" s="199"/>
      <c r="U332" s="199"/>
      <c r="V332" s="199"/>
      <c r="W332" s="199"/>
      <c r="X332" s="199"/>
      <c r="Y332" s="199"/>
      <c r="Z332" s="199"/>
      <c r="AA332" s="199"/>
      <c r="AB332" s="199"/>
      <c r="AC332" s="309"/>
    </row>
    <row r="333" spans="1:29" ht="12.75" customHeight="1">
      <c r="A333" s="303"/>
      <c r="B333" s="304"/>
      <c r="C333" s="304"/>
      <c r="D333" s="304"/>
      <c r="E333" s="304"/>
      <c r="F333" s="304"/>
      <c r="G333" s="305"/>
      <c r="H333" s="304"/>
      <c r="I333" s="304"/>
      <c r="J333" s="304"/>
      <c r="K333" s="306"/>
      <c r="L333" s="304"/>
      <c r="M333" s="304"/>
      <c r="N333" s="304"/>
      <c r="O333" s="304"/>
      <c r="P333" s="304"/>
      <c r="Q333" s="199"/>
      <c r="R333" s="199"/>
      <c r="S333" s="199"/>
      <c r="T333" s="199"/>
      <c r="U333" s="199"/>
      <c r="V333" s="199"/>
      <c r="W333" s="199"/>
      <c r="X333" s="199"/>
      <c r="Y333" s="199"/>
      <c r="Z333" s="199"/>
      <c r="AA333" s="199"/>
      <c r="AB333" s="199"/>
      <c r="AC333" s="309"/>
    </row>
    <row r="334" spans="1:29" ht="12.75" customHeight="1">
      <c r="A334" s="303"/>
      <c r="B334" s="304"/>
      <c r="C334" s="304"/>
      <c r="D334" s="304"/>
      <c r="E334" s="304"/>
      <c r="F334" s="304"/>
      <c r="G334" s="305"/>
      <c r="H334" s="304"/>
      <c r="I334" s="304"/>
      <c r="J334" s="304"/>
      <c r="K334" s="306"/>
      <c r="L334" s="304"/>
      <c r="M334" s="304"/>
      <c r="N334" s="304"/>
      <c r="O334" s="304"/>
      <c r="P334" s="304"/>
      <c r="Q334" s="199"/>
      <c r="R334" s="199"/>
      <c r="S334" s="199"/>
      <c r="T334" s="199"/>
      <c r="U334" s="199"/>
      <c r="V334" s="199"/>
      <c r="W334" s="199"/>
      <c r="X334" s="199"/>
      <c r="Y334" s="199"/>
      <c r="Z334" s="199"/>
      <c r="AA334" s="199"/>
      <c r="AB334" s="199"/>
      <c r="AC334" s="309"/>
    </row>
    <row r="335" spans="1:29" ht="12.75" customHeight="1">
      <c r="A335" s="303"/>
      <c r="B335" s="304"/>
      <c r="C335" s="304"/>
      <c r="D335" s="304"/>
      <c r="E335" s="304"/>
      <c r="F335" s="304"/>
      <c r="G335" s="305"/>
      <c r="H335" s="304"/>
      <c r="I335" s="304"/>
      <c r="J335" s="304"/>
      <c r="K335" s="306"/>
      <c r="L335" s="304"/>
      <c r="M335" s="304"/>
      <c r="N335" s="304"/>
      <c r="O335" s="304"/>
      <c r="P335" s="304"/>
      <c r="Q335" s="199"/>
      <c r="R335" s="199"/>
      <c r="S335" s="199"/>
      <c r="T335" s="199"/>
      <c r="U335" s="199"/>
      <c r="V335" s="199"/>
      <c r="W335" s="199"/>
      <c r="X335" s="199"/>
      <c r="Y335" s="199"/>
      <c r="Z335" s="199"/>
      <c r="AA335" s="199"/>
      <c r="AB335" s="199"/>
      <c r="AC335" s="309"/>
    </row>
    <row r="336" spans="1:29" ht="12.75" customHeight="1">
      <c r="A336" s="303"/>
      <c r="B336" s="304"/>
      <c r="C336" s="199"/>
      <c r="D336" s="199"/>
      <c r="E336" s="199"/>
      <c r="F336" s="199"/>
      <c r="G336" s="307"/>
      <c r="H336" s="199"/>
      <c r="I336" s="199"/>
      <c r="J336" s="199"/>
      <c r="K336" s="308"/>
      <c r="L336" s="199"/>
      <c r="M336" s="199"/>
      <c r="N336" s="199"/>
      <c r="O336" s="199"/>
      <c r="P336" s="199"/>
      <c r="Q336" s="199"/>
      <c r="R336" s="199"/>
      <c r="S336" s="199"/>
      <c r="T336" s="199"/>
      <c r="U336" s="199"/>
      <c r="V336" s="199"/>
      <c r="W336" s="199"/>
      <c r="X336" s="199"/>
      <c r="Y336" s="199"/>
      <c r="Z336" s="199"/>
      <c r="AA336" s="199"/>
      <c r="AB336" s="199"/>
      <c r="AC336" s="309"/>
    </row>
    <row r="337" spans="1:29" ht="12.75" customHeight="1">
      <c r="A337" s="303"/>
      <c r="B337" s="304"/>
      <c r="C337" s="199"/>
      <c r="D337" s="199"/>
      <c r="E337" s="199"/>
      <c r="F337" s="199"/>
      <c r="G337" s="307"/>
      <c r="H337" s="199"/>
      <c r="I337" s="199"/>
      <c r="J337" s="199"/>
      <c r="K337" s="308"/>
      <c r="L337" s="199"/>
      <c r="M337" s="199"/>
      <c r="N337" s="199"/>
      <c r="O337" s="199"/>
      <c r="P337" s="199"/>
      <c r="Q337" s="199"/>
      <c r="R337" s="199"/>
      <c r="S337" s="199"/>
      <c r="T337" s="199"/>
      <c r="U337" s="199"/>
      <c r="V337" s="199"/>
      <c r="W337" s="199"/>
      <c r="X337" s="199"/>
      <c r="Y337" s="199"/>
      <c r="Z337" s="199"/>
      <c r="AA337" s="199"/>
      <c r="AB337" s="199"/>
      <c r="AC337" s="309"/>
    </row>
    <row r="338" spans="1:29" ht="12.75" customHeight="1">
      <c r="A338" s="303"/>
      <c r="B338" s="304"/>
      <c r="C338" s="199"/>
      <c r="D338" s="199"/>
      <c r="E338" s="199"/>
      <c r="F338" s="199"/>
      <c r="G338" s="307"/>
      <c r="H338" s="199"/>
      <c r="I338" s="199"/>
      <c r="J338" s="199"/>
      <c r="K338" s="308"/>
      <c r="L338" s="199"/>
      <c r="M338" s="199"/>
      <c r="N338" s="199"/>
      <c r="O338" s="199"/>
      <c r="P338" s="199"/>
      <c r="Q338" s="199"/>
      <c r="R338" s="199"/>
      <c r="S338" s="199"/>
      <c r="T338" s="199"/>
      <c r="U338" s="199"/>
      <c r="V338" s="199"/>
      <c r="W338" s="199"/>
      <c r="X338" s="199"/>
      <c r="Y338" s="199"/>
      <c r="Z338" s="199"/>
      <c r="AA338" s="199"/>
      <c r="AB338" s="199"/>
      <c r="AC338" s="309"/>
    </row>
    <row r="339" spans="1:29" ht="12.75" customHeight="1">
      <c r="A339" s="303"/>
      <c r="B339" s="304"/>
      <c r="C339" s="199"/>
      <c r="D339" s="199"/>
      <c r="E339" s="199"/>
      <c r="F339" s="199"/>
      <c r="G339" s="307"/>
      <c r="H339" s="199"/>
      <c r="I339" s="199"/>
      <c r="J339" s="199"/>
      <c r="K339" s="308"/>
      <c r="L339" s="199"/>
      <c r="M339" s="199"/>
      <c r="N339" s="199"/>
      <c r="O339" s="199"/>
      <c r="P339" s="199"/>
      <c r="Q339" s="199"/>
      <c r="R339" s="199"/>
      <c r="S339" s="199"/>
      <c r="T339" s="199"/>
      <c r="U339" s="199"/>
      <c r="V339" s="199"/>
      <c r="W339" s="199"/>
      <c r="X339" s="199"/>
      <c r="Y339" s="199"/>
      <c r="Z339" s="199"/>
      <c r="AA339" s="199"/>
      <c r="AB339" s="199"/>
      <c r="AC339" s="309"/>
    </row>
    <row r="340" spans="1:29" ht="12.75" customHeight="1">
      <c r="A340" s="303"/>
      <c r="B340" s="304"/>
      <c r="C340" s="199"/>
      <c r="D340" s="199"/>
      <c r="E340" s="199"/>
      <c r="F340" s="199"/>
      <c r="G340" s="307"/>
      <c r="H340" s="199"/>
      <c r="I340" s="199"/>
      <c r="J340" s="199"/>
      <c r="K340" s="308"/>
      <c r="L340" s="199"/>
      <c r="M340" s="199"/>
      <c r="N340" s="199"/>
      <c r="O340" s="199"/>
      <c r="P340" s="199"/>
      <c r="Q340" s="199"/>
      <c r="R340" s="199"/>
      <c r="S340" s="199"/>
      <c r="T340" s="199"/>
      <c r="U340" s="199"/>
      <c r="V340" s="199"/>
      <c r="W340" s="199"/>
      <c r="X340" s="199"/>
      <c r="Y340" s="199"/>
      <c r="Z340" s="199"/>
      <c r="AA340" s="199"/>
      <c r="AB340" s="199"/>
      <c r="AC340" s="309"/>
    </row>
    <row r="341" spans="1:29" ht="12.75" customHeight="1">
      <c r="A341" s="303"/>
      <c r="B341" s="304"/>
      <c r="C341" s="199"/>
      <c r="D341" s="199"/>
      <c r="E341" s="199"/>
      <c r="F341" s="199"/>
      <c r="G341" s="307"/>
      <c r="H341" s="199"/>
      <c r="I341" s="199"/>
      <c r="J341" s="199"/>
      <c r="K341" s="308"/>
      <c r="L341" s="199"/>
      <c r="M341" s="199"/>
      <c r="N341" s="199"/>
      <c r="O341" s="199"/>
      <c r="P341" s="199"/>
      <c r="Q341" s="199"/>
      <c r="R341" s="199"/>
      <c r="S341" s="199"/>
      <c r="T341" s="199"/>
      <c r="U341" s="199"/>
      <c r="V341" s="199"/>
      <c r="W341" s="199"/>
      <c r="X341" s="199"/>
      <c r="Y341" s="199"/>
      <c r="Z341" s="199"/>
      <c r="AA341" s="199"/>
      <c r="AB341" s="199"/>
      <c r="AC341" s="309"/>
    </row>
    <row r="342" spans="1:29" ht="12.75" customHeight="1">
      <c r="A342" s="303"/>
      <c r="B342" s="304"/>
      <c r="C342" s="199"/>
      <c r="D342" s="199"/>
      <c r="E342" s="199"/>
      <c r="F342" s="199"/>
      <c r="G342" s="307"/>
      <c r="H342" s="199"/>
      <c r="I342" s="199"/>
      <c r="J342" s="199"/>
      <c r="K342" s="308"/>
      <c r="L342" s="199"/>
      <c r="M342" s="199"/>
      <c r="N342" s="199"/>
      <c r="O342" s="199"/>
      <c r="P342" s="199"/>
      <c r="Q342" s="199"/>
      <c r="R342" s="199"/>
      <c r="S342" s="199"/>
      <c r="T342" s="199"/>
      <c r="U342" s="199"/>
      <c r="V342" s="199"/>
      <c r="W342" s="199"/>
      <c r="X342" s="199"/>
      <c r="Y342" s="199"/>
      <c r="Z342" s="199"/>
      <c r="AA342" s="199"/>
      <c r="AB342" s="199"/>
      <c r="AC342" s="309"/>
    </row>
    <row r="343" spans="1:29" ht="12.75" customHeight="1">
      <c r="A343" s="303"/>
      <c r="B343" s="304"/>
      <c r="C343" s="199"/>
      <c r="D343" s="199"/>
      <c r="E343" s="199"/>
      <c r="F343" s="199"/>
      <c r="G343" s="307"/>
      <c r="H343" s="199"/>
      <c r="I343" s="199"/>
      <c r="J343" s="199"/>
      <c r="K343" s="308"/>
      <c r="L343" s="199"/>
      <c r="M343" s="199"/>
      <c r="N343" s="199"/>
      <c r="O343" s="199"/>
      <c r="P343" s="199"/>
      <c r="Q343" s="199"/>
      <c r="R343" s="199"/>
      <c r="S343" s="199"/>
      <c r="T343" s="199"/>
      <c r="U343" s="199"/>
      <c r="V343" s="199"/>
      <c r="W343" s="199"/>
      <c r="X343" s="199"/>
      <c r="Y343" s="199"/>
      <c r="Z343" s="199"/>
      <c r="AA343" s="199"/>
      <c r="AB343" s="199"/>
      <c r="AC343" s="309"/>
    </row>
    <row r="344" spans="1:29" ht="12.75" customHeight="1">
      <c r="A344" s="303"/>
      <c r="B344" s="304"/>
      <c r="C344" s="199"/>
      <c r="D344" s="199"/>
      <c r="E344" s="199"/>
      <c r="F344" s="199"/>
      <c r="G344" s="307"/>
      <c r="H344" s="199"/>
      <c r="I344" s="199"/>
      <c r="J344" s="199"/>
      <c r="K344" s="308"/>
      <c r="L344" s="199"/>
      <c r="M344" s="199"/>
      <c r="N344" s="199"/>
      <c r="O344" s="199"/>
      <c r="P344" s="199"/>
      <c r="Q344" s="199"/>
      <c r="R344" s="199"/>
      <c r="S344" s="199"/>
      <c r="T344" s="199"/>
      <c r="U344" s="199"/>
      <c r="V344" s="199"/>
      <c r="W344" s="199"/>
      <c r="X344" s="199"/>
      <c r="Y344" s="199"/>
      <c r="Z344" s="199"/>
      <c r="AA344" s="199"/>
      <c r="AB344" s="199"/>
      <c r="AC344" s="309"/>
    </row>
    <row r="345" spans="1:29" ht="12.75" customHeight="1">
      <c r="A345" s="303"/>
      <c r="B345" s="304"/>
      <c r="C345" s="199"/>
      <c r="D345" s="199"/>
      <c r="E345" s="199"/>
      <c r="F345" s="199"/>
      <c r="G345" s="307"/>
      <c r="H345" s="199"/>
      <c r="I345" s="199"/>
      <c r="J345" s="199"/>
      <c r="K345" s="308"/>
      <c r="L345" s="199"/>
      <c r="M345" s="199"/>
      <c r="N345" s="199"/>
      <c r="O345" s="199"/>
      <c r="P345" s="199"/>
      <c r="Q345" s="199"/>
      <c r="R345" s="199"/>
      <c r="S345" s="199"/>
      <c r="T345" s="199"/>
      <c r="U345" s="199"/>
      <c r="V345" s="199"/>
      <c r="W345" s="199"/>
      <c r="X345" s="199"/>
      <c r="Y345" s="199"/>
      <c r="Z345" s="199"/>
      <c r="AA345" s="199"/>
      <c r="AB345" s="199"/>
      <c r="AC345" s="309"/>
    </row>
    <row r="346" spans="1:29" ht="12.75" customHeight="1">
      <c r="A346" s="303"/>
      <c r="B346" s="304"/>
      <c r="C346" s="199"/>
      <c r="D346" s="199"/>
      <c r="E346" s="199"/>
      <c r="F346" s="199"/>
      <c r="G346" s="307"/>
      <c r="H346" s="199"/>
      <c r="I346" s="199"/>
      <c r="J346" s="199"/>
      <c r="K346" s="308"/>
      <c r="L346" s="199"/>
      <c r="M346" s="199"/>
      <c r="N346" s="199"/>
      <c r="O346" s="199"/>
      <c r="P346" s="199"/>
      <c r="Q346" s="199"/>
      <c r="R346" s="199"/>
      <c r="S346" s="199"/>
      <c r="T346" s="199"/>
      <c r="U346" s="199"/>
      <c r="V346" s="199"/>
      <c r="W346" s="199"/>
      <c r="X346" s="199"/>
      <c r="Y346" s="199"/>
      <c r="Z346" s="199"/>
      <c r="AA346" s="199"/>
      <c r="AB346" s="199"/>
      <c r="AC346" s="309"/>
    </row>
    <row r="347" spans="1:29" ht="12.75" customHeight="1">
      <c r="A347" s="303"/>
      <c r="B347" s="304"/>
      <c r="C347" s="199"/>
      <c r="D347" s="199"/>
      <c r="E347" s="199"/>
      <c r="F347" s="199"/>
      <c r="G347" s="307"/>
      <c r="H347" s="199"/>
      <c r="I347" s="199"/>
      <c r="J347" s="199"/>
      <c r="K347" s="308"/>
      <c r="L347" s="199"/>
      <c r="M347" s="199"/>
      <c r="N347" s="199"/>
      <c r="O347" s="199"/>
      <c r="P347" s="199"/>
      <c r="Q347" s="199"/>
      <c r="R347" s="199"/>
      <c r="S347" s="199"/>
      <c r="T347" s="199"/>
      <c r="U347" s="199"/>
      <c r="V347" s="199"/>
      <c r="W347" s="199"/>
      <c r="X347" s="199"/>
      <c r="Y347" s="199"/>
      <c r="Z347" s="199"/>
      <c r="AA347" s="199"/>
      <c r="AB347" s="199"/>
      <c r="AC347" s="309"/>
    </row>
    <row r="348" spans="1:29" ht="12.75" customHeight="1">
      <c r="A348" s="303"/>
      <c r="B348" s="304"/>
      <c r="C348" s="199"/>
      <c r="D348" s="199"/>
      <c r="E348" s="199"/>
      <c r="F348" s="199"/>
      <c r="G348" s="307"/>
      <c r="H348" s="199"/>
      <c r="I348" s="199"/>
      <c r="J348" s="199"/>
      <c r="K348" s="308"/>
      <c r="L348" s="199"/>
      <c r="M348" s="199"/>
      <c r="N348" s="199"/>
      <c r="O348" s="199"/>
      <c r="P348" s="199"/>
      <c r="Q348" s="199"/>
      <c r="R348" s="199"/>
      <c r="S348" s="199"/>
      <c r="T348" s="199"/>
      <c r="U348" s="199"/>
      <c r="V348" s="199"/>
      <c r="W348" s="199"/>
      <c r="X348" s="199"/>
      <c r="Y348" s="199"/>
      <c r="Z348" s="199"/>
      <c r="AA348" s="199"/>
      <c r="AB348" s="199"/>
      <c r="AC348" s="309"/>
    </row>
    <row r="349" spans="1:29" ht="12.75" customHeight="1">
      <c r="A349" s="303"/>
      <c r="B349" s="304"/>
      <c r="C349" s="199"/>
      <c r="D349" s="199"/>
      <c r="E349" s="199"/>
      <c r="F349" s="199"/>
      <c r="G349" s="307"/>
      <c r="H349" s="199"/>
      <c r="I349" s="199"/>
      <c r="J349" s="199"/>
      <c r="K349" s="308"/>
      <c r="L349" s="199"/>
      <c r="M349" s="199"/>
      <c r="N349" s="199"/>
      <c r="O349" s="199"/>
      <c r="P349" s="199"/>
      <c r="Q349" s="199"/>
      <c r="R349" s="199"/>
      <c r="S349" s="199"/>
      <c r="T349" s="199"/>
      <c r="U349" s="199"/>
      <c r="V349" s="199"/>
      <c r="W349" s="199"/>
      <c r="X349" s="199"/>
      <c r="Y349" s="199"/>
      <c r="Z349" s="199"/>
      <c r="AA349" s="199"/>
      <c r="AB349" s="199"/>
      <c r="AC349" s="309"/>
    </row>
    <row r="350" spans="1:29" ht="12.75" customHeight="1">
      <c r="A350" s="303"/>
      <c r="B350" s="304"/>
      <c r="C350" s="199"/>
      <c r="D350" s="199"/>
      <c r="E350" s="199"/>
      <c r="F350" s="199"/>
      <c r="G350" s="307"/>
      <c r="H350" s="199"/>
      <c r="I350" s="199"/>
      <c r="J350" s="199"/>
      <c r="K350" s="308"/>
      <c r="L350" s="199"/>
      <c r="M350" s="199"/>
      <c r="N350" s="199"/>
      <c r="O350" s="199"/>
      <c r="P350" s="199"/>
      <c r="Q350" s="199"/>
      <c r="R350" s="199"/>
      <c r="S350" s="199"/>
      <c r="T350" s="199"/>
      <c r="U350" s="199"/>
      <c r="V350" s="199"/>
      <c r="W350" s="199"/>
      <c r="X350" s="199"/>
      <c r="Y350" s="199"/>
      <c r="Z350" s="199"/>
      <c r="AA350" s="199"/>
      <c r="AB350" s="199"/>
      <c r="AC350" s="309"/>
    </row>
    <row r="351" spans="1:29" ht="12.75" customHeight="1">
      <c r="A351" s="303"/>
      <c r="B351" s="304"/>
      <c r="C351" s="199"/>
      <c r="D351" s="199"/>
      <c r="E351" s="199"/>
      <c r="F351" s="199"/>
      <c r="G351" s="307"/>
      <c r="H351" s="199"/>
      <c r="I351" s="199"/>
      <c r="J351" s="199"/>
      <c r="K351" s="308"/>
      <c r="L351" s="199"/>
      <c r="M351" s="199"/>
      <c r="N351" s="199"/>
      <c r="O351" s="199"/>
      <c r="P351" s="199"/>
      <c r="Q351" s="199"/>
      <c r="R351" s="199"/>
      <c r="S351" s="199"/>
      <c r="T351" s="199"/>
      <c r="U351" s="199"/>
      <c r="V351" s="199"/>
      <c r="W351" s="199"/>
      <c r="X351" s="199"/>
      <c r="Y351" s="199"/>
      <c r="Z351" s="199"/>
      <c r="AA351" s="199"/>
      <c r="AB351" s="199"/>
      <c r="AC351" s="309"/>
    </row>
    <row r="352" spans="1:29" ht="12.75" customHeight="1">
      <c r="A352" s="303"/>
      <c r="B352" s="304"/>
      <c r="C352" s="199"/>
      <c r="D352" s="199"/>
      <c r="E352" s="199"/>
      <c r="F352" s="199"/>
      <c r="G352" s="307"/>
      <c r="H352" s="199"/>
      <c r="I352" s="199"/>
      <c r="J352" s="199"/>
      <c r="K352" s="308"/>
      <c r="L352" s="199"/>
      <c r="M352" s="199"/>
      <c r="N352" s="199"/>
      <c r="O352" s="199"/>
      <c r="P352" s="199"/>
      <c r="Q352" s="199"/>
      <c r="R352" s="199"/>
      <c r="S352" s="199"/>
      <c r="T352" s="199"/>
      <c r="U352" s="199"/>
      <c r="V352" s="199"/>
      <c r="W352" s="199"/>
      <c r="X352" s="199"/>
      <c r="Y352" s="199"/>
      <c r="Z352" s="199"/>
      <c r="AA352" s="199"/>
      <c r="AB352" s="199"/>
      <c r="AC352" s="309"/>
    </row>
    <row r="353" spans="1:29" ht="12.75" customHeight="1">
      <c r="A353" s="303"/>
      <c r="B353" s="304"/>
      <c r="C353" s="199"/>
      <c r="D353" s="199"/>
      <c r="E353" s="199"/>
      <c r="F353" s="199"/>
      <c r="G353" s="307"/>
      <c r="H353" s="199"/>
      <c r="I353" s="199"/>
      <c r="J353" s="199"/>
      <c r="K353" s="308"/>
      <c r="L353" s="199"/>
      <c r="M353" s="199"/>
      <c r="N353" s="199"/>
      <c r="O353" s="199"/>
      <c r="P353" s="199"/>
      <c r="Q353" s="199"/>
      <c r="R353" s="199"/>
      <c r="S353" s="199"/>
      <c r="T353" s="199"/>
      <c r="U353" s="199"/>
      <c r="V353" s="199"/>
      <c r="W353" s="199"/>
      <c r="X353" s="199"/>
      <c r="Y353" s="199"/>
      <c r="Z353" s="199"/>
      <c r="AA353" s="199"/>
      <c r="AB353" s="199"/>
      <c r="AC353" s="309"/>
    </row>
    <row r="354" spans="1:29" ht="12.75" customHeight="1">
      <c r="A354" s="303"/>
      <c r="B354" s="304"/>
      <c r="C354" s="199"/>
      <c r="D354" s="199"/>
      <c r="E354" s="199"/>
      <c r="F354" s="199"/>
      <c r="G354" s="307"/>
      <c r="H354" s="199"/>
      <c r="I354" s="199"/>
      <c r="J354" s="199"/>
      <c r="K354" s="308"/>
      <c r="L354" s="199"/>
      <c r="M354" s="199"/>
      <c r="N354" s="199"/>
      <c r="O354" s="199"/>
      <c r="P354" s="199"/>
      <c r="Q354" s="199"/>
      <c r="R354" s="199"/>
      <c r="S354" s="199"/>
      <c r="T354" s="199"/>
      <c r="U354" s="199"/>
      <c r="V354" s="199"/>
      <c r="W354" s="199"/>
      <c r="X354" s="199"/>
      <c r="Y354" s="199"/>
      <c r="Z354" s="199"/>
      <c r="AA354" s="199"/>
      <c r="AB354" s="199"/>
      <c r="AC354" s="309"/>
    </row>
    <row r="355" spans="1:29" ht="12.75" customHeight="1">
      <c r="A355" s="303"/>
      <c r="B355" s="304"/>
      <c r="C355" s="199"/>
      <c r="D355" s="199"/>
      <c r="E355" s="199"/>
      <c r="F355" s="199"/>
      <c r="G355" s="307"/>
      <c r="H355" s="199"/>
      <c r="I355" s="199"/>
      <c r="J355" s="199"/>
      <c r="K355" s="308"/>
      <c r="L355" s="199"/>
      <c r="M355" s="199"/>
      <c r="N355" s="199"/>
      <c r="O355" s="199"/>
      <c r="P355" s="199"/>
      <c r="Q355" s="199"/>
      <c r="R355" s="199"/>
      <c r="S355" s="199"/>
      <c r="T355" s="199"/>
      <c r="U355" s="199"/>
      <c r="V355" s="199"/>
      <c r="W355" s="199"/>
      <c r="X355" s="199"/>
      <c r="Y355" s="199"/>
      <c r="Z355" s="199"/>
      <c r="AA355" s="199"/>
      <c r="AB355" s="199"/>
      <c r="AC355" s="309"/>
    </row>
    <row r="356" spans="1:29" ht="12.75" customHeight="1">
      <c r="A356" s="303"/>
      <c r="B356" s="304"/>
      <c r="C356" s="199"/>
      <c r="D356" s="199"/>
      <c r="E356" s="199"/>
      <c r="F356" s="199"/>
      <c r="G356" s="307"/>
      <c r="H356" s="199"/>
      <c r="I356" s="199"/>
      <c r="J356" s="199"/>
      <c r="K356" s="308"/>
      <c r="L356" s="199"/>
      <c r="M356" s="199"/>
      <c r="N356" s="199"/>
      <c r="O356" s="199"/>
      <c r="P356" s="199"/>
      <c r="Q356" s="199"/>
      <c r="R356" s="199"/>
      <c r="S356" s="199"/>
      <c r="T356" s="199"/>
      <c r="U356" s="199"/>
      <c r="V356" s="199"/>
      <c r="W356" s="199"/>
      <c r="X356" s="199"/>
      <c r="Y356" s="199"/>
      <c r="Z356" s="199"/>
      <c r="AA356" s="199"/>
      <c r="AB356" s="199"/>
      <c r="AC356" s="309"/>
    </row>
    <row r="357" spans="1:29" ht="12.75" customHeight="1">
      <c r="A357" s="303"/>
      <c r="B357" s="304"/>
      <c r="C357" s="199"/>
      <c r="D357" s="199"/>
      <c r="E357" s="199"/>
      <c r="F357" s="199"/>
      <c r="G357" s="307"/>
      <c r="H357" s="199"/>
      <c r="I357" s="199"/>
      <c r="J357" s="199"/>
      <c r="K357" s="308"/>
      <c r="L357" s="199"/>
      <c r="M357" s="199"/>
      <c r="N357" s="199"/>
      <c r="O357" s="199"/>
      <c r="P357" s="199"/>
      <c r="Q357" s="199"/>
      <c r="R357" s="199"/>
      <c r="S357" s="199"/>
      <c r="T357" s="199"/>
      <c r="U357" s="199"/>
      <c r="V357" s="199"/>
      <c r="W357" s="199"/>
      <c r="X357" s="199"/>
      <c r="Y357" s="199"/>
      <c r="Z357" s="199"/>
      <c r="AA357" s="199"/>
      <c r="AB357" s="199"/>
      <c r="AC357" s="309"/>
    </row>
    <row r="358" spans="1:29" ht="12.75" customHeight="1">
      <c r="A358" s="303"/>
      <c r="B358" s="304"/>
      <c r="C358" s="199"/>
      <c r="D358" s="199"/>
      <c r="E358" s="199"/>
      <c r="F358" s="199"/>
      <c r="G358" s="307"/>
      <c r="H358" s="199"/>
      <c r="I358" s="199"/>
      <c r="J358" s="199"/>
      <c r="K358" s="308"/>
      <c r="L358" s="199"/>
      <c r="M358" s="199"/>
      <c r="N358" s="199"/>
      <c r="O358" s="199"/>
      <c r="P358" s="199"/>
      <c r="Q358" s="199"/>
      <c r="R358" s="199"/>
      <c r="S358" s="199"/>
      <c r="T358" s="199"/>
      <c r="U358" s="199"/>
      <c r="V358" s="199"/>
      <c r="W358" s="199"/>
      <c r="X358" s="199"/>
      <c r="Y358" s="199"/>
      <c r="Z358" s="199"/>
      <c r="AA358" s="199"/>
      <c r="AB358" s="199"/>
      <c r="AC358" s="309"/>
    </row>
    <row r="359" spans="1:29" ht="12.75" customHeight="1">
      <c r="A359" s="303"/>
      <c r="B359" s="304"/>
      <c r="C359" s="199"/>
      <c r="D359" s="199"/>
      <c r="E359" s="199"/>
      <c r="F359" s="199"/>
      <c r="G359" s="307"/>
      <c r="H359" s="199"/>
      <c r="I359" s="199"/>
      <c r="J359" s="199"/>
      <c r="K359" s="308"/>
      <c r="L359" s="199"/>
      <c r="M359" s="199"/>
      <c r="N359" s="199"/>
      <c r="O359" s="199"/>
      <c r="P359" s="199"/>
      <c r="Q359" s="199"/>
      <c r="R359" s="199"/>
      <c r="S359" s="199"/>
      <c r="T359" s="199"/>
      <c r="U359" s="199"/>
      <c r="V359" s="199"/>
      <c r="W359" s="199"/>
      <c r="X359" s="199"/>
      <c r="Y359" s="199"/>
      <c r="Z359" s="199"/>
      <c r="AA359" s="199"/>
      <c r="AB359" s="199"/>
      <c r="AC359" s="309"/>
    </row>
    <row r="360" spans="1:29" ht="12.75" customHeight="1">
      <c r="A360" s="303"/>
      <c r="B360" s="304"/>
      <c r="C360" s="199"/>
      <c r="D360" s="199"/>
      <c r="E360" s="199"/>
      <c r="F360" s="199"/>
      <c r="G360" s="307"/>
      <c r="H360" s="199"/>
      <c r="I360" s="199"/>
      <c r="J360" s="199"/>
      <c r="K360" s="308"/>
      <c r="L360" s="199"/>
      <c r="M360" s="199"/>
      <c r="N360" s="199"/>
      <c r="O360" s="199"/>
      <c r="P360" s="199"/>
      <c r="Q360" s="199"/>
      <c r="R360" s="199"/>
      <c r="S360" s="199"/>
      <c r="T360" s="199"/>
      <c r="U360" s="199"/>
      <c r="V360" s="199"/>
      <c r="W360" s="199"/>
      <c r="X360" s="199"/>
      <c r="Y360" s="199"/>
      <c r="Z360" s="199"/>
      <c r="AA360" s="199"/>
      <c r="AB360" s="199"/>
      <c r="AC360" s="309"/>
    </row>
    <row r="361" spans="1:29" ht="12.75" customHeight="1">
      <c r="A361" s="303"/>
      <c r="B361" s="304"/>
      <c r="C361" s="199"/>
      <c r="D361" s="199"/>
      <c r="E361" s="199"/>
      <c r="F361" s="199"/>
      <c r="G361" s="307"/>
      <c r="H361" s="199"/>
      <c r="I361" s="199"/>
      <c r="J361" s="199"/>
      <c r="K361" s="308"/>
      <c r="L361" s="199"/>
      <c r="M361" s="199"/>
      <c r="N361" s="199"/>
      <c r="O361" s="199"/>
      <c r="P361" s="199"/>
      <c r="Q361" s="199"/>
      <c r="R361" s="199"/>
      <c r="S361" s="199"/>
      <c r="T361" s="199"/>
      <c r="U361" s="199"/>
      <c r="V361" s="199"/>
      <c r="W361" s="199"/>
      <c r="X361" s="199"/>
      <c r="Y361" s="199"/>
      <c r="Z361" s="199"/>
      <c r="AA361" s="199"/>
      <c r="AB361" s="199"/>
      <c r="AC361" s="309"/>
    </row>
    <row r="362" spans="1:29" ht="12.75" customHeight="1">
      <c r="A362" s="303"/>
      <c r="B362" s="304"/>
      <c r="C362" s="199"/>
      <c r="D362" s="199"/>
      <c r="E362" s="199"/>
      <c r="F362" s="199"/>
      <c r="G362" s="307"/>
      <c r="H362" s="199"/>
      <c r="I362" s="199"/>
      <c r="J362" s="199"/>
      <c r="K362" s="308"/>
      <c r="L362" s="199"/>
      <c r="M362" s="199"/>
      <c r="N362" s="199"/>
      <c r="O362" s="199"/>
      <c r="P362" s="199"/>
      <c r="Q362" s="199"/>
      <c r="R362" s="199"/>
      <c r="S362" s="199"/>
      <c r="T362" s="199"/>
      <c r="U362" s="199"/>
      <c r="V362" s="199"/>
      <c r="W362" s="199"/>
      <c r="X362" s="199"/>
      <c r="Y362" s="199"/>
      <c r="Z362" s="199"/>
      <c r="AA362" s="199"/>
      <c r="AB362" s="199"/>
      <c r="AC362" s="309"/>
    </row>
    <row r="363" spans="1:29" ht="12.75" customHeight="1">
      <c r="A363" s="303"/>
      <c r="B363" s="304"/>
      <c r="C363" s="199"/>
      <c r="D363" s="199"/>
      <c r="E363" s="199"/>
      <c r="F363" s="199"/>
      <c r="G363" s="307"/>
      <c r="H363" s="199"/>
      <c r="I363" s="199"/>
      <c r="J363" s="199"/>
      <c r="K363" s="308"/>
      <c r="L363" s="199"/>
      <c r="M363" s="199"/>
      <c r="N363" s="199"/>
      <c r="O363" s="199"/>
      <c r="P363" s="199"/>
      <c r="Q363" s="199"/>
      <c r="R363" s="199"/>
      <c r="S363" s="199"/>
      <c r="T363" s="199"/>
      <c r="U363" s="199"/>
      <c r="V363" s="199"/>
      <c r="W363" s="199"/>
      <c r="X363" s="199"/>
      <c r="Y363" s="199"/>
      <c r="Z363" s="199"/>
      <c r="AA363" s="199"/>
      <c r="AB363" s="199"/>
      <c r="AC363" s="309"/>
    </row>
    <row r="364" spans="1:29" ht="12.75" customHeight="1">
      <c r="A364" s="303"/>
      <c r="B364" s="304"/>
      <c r="C364" s="199"/>
      <c r="D364" s="199"/>
      <c r="E364" s="199"/>
      <c r="F364" s="199"/>
      <c r="G364" s="307"/>
      <c r="H364" s="199"/>
      <c r="I364" s="199"/>
      <c r="J364" s="199"/>
      <c r="K364" s="308"/>
      <c r="L364" s="199"/>
      <c r="M364" s="199"/>
      <c r="N364" s="199"/>
      <c r="O364" s="199"/>
      <c r="P364" s="199"/>
      <c r="Q364" s="199"/>
      <c r="R364" s="199"/>
      <c r="S364" s="199"/>
      <c r="T364" s="199"/>
      <c r="U364" s="199"/>
      <c r="V364" s="199"/>
      <c r="W364" s="199"/>
      <c r="X364" s="199"/>
      <c r="Y364" s="199"/>
      <c r="Z364" s="199"/>
      <c r="AA364" s="199"/>
      <c r="AB364" s="199"/>
      <c r="AC364" s="309"/>
    </row>
    <row r="365" spans="1:29" ht="12.75" customHeight="1">
      <c r="A365" s="303"/>
      <c r="B365" s="304"/>
      <c r="C365" s="199"/>
      <c r="D365" s="199"/>
      <c r="E365" s="199"/>
      <c r="F365" s="199"/>
      <c r="G365" s="307"/>
      <c r="H365" s="199"/>
      <c r="I365" s="199"/>
      <c r="J365" s="199"/>
      <c r="K365" s="308"/>
      <c r="L365" s="199"/>
      <c r="M365" s="199"/>
      <c r="N365" s="199"/>
      <c r="O365" s="199"/>
      <c r="P365" s="199"/>
      <c r="Q365" s="199"/>
      <c r="R365" s="199"/>
      <c r="S365" s="199"/>
      <c r="T365" s="199"/>
      <c r="U365" s="199"/>
      <c r="V365" s="199"/>
      <c r="W365" s="199"/>
      <c r="X365" s="199"/>
      <c r="Y365" s="199"/>
      <c r="Z365" s="199"/>
      <c r="AA365" s="199"/>
      <c r="AB365" s="199"/>
      <c r="AC365" s="309"/>
    </row>
    <row r="366" spans="1:29" ht="12.75" customHeight="1">
      <c r="A366" s="309"/>
      <c r="B366" s="309"/>
      <c r="C366" s="309"/>
      <c r="D366" s="309"/>
      <c r="E366" s="309"/>
      <c r="F366" s="309"/>
      <c r="G366" s="309"/>
      <c r="H366" s="309"/>
      <c r="I366" s="309"/>
      <c r="J366" s="309"/>
      <c r="K366" s="310"/>
      <c r="L366" s="309"/>
      <c r="M366" s="309"/>
      <c r="N366" s="309"/>
      <c r="O366" s="309"/>
      <c r="P366" s="309"/>
      <c r="Q366" s="309"/>
      <c r="R366" s="309"/>
      <c r="S366" s="309"/>
      <c r="T366" s="309"/>
      <c r="U366" s="309"/>
      <c r="V366" s="309"/>
      <c r="W366" s="309"/>
      <c r="X366" s="309"/>
      <c r="Y366" s="309"/>
      <c r="Z366" s="309"/>
      <c r="AA366" s="309"/>
      <c r="AB366" s="309"/>
      <c r="AC366" s="309"/>
    </row>
    <row r="367" spans="1:29" ht="12.75" customHeight="1">
      <c r="A367" s="309"/>
      <c r="B367" s="309"/>
      <c r="C367" s="309"/>
      <c r="D367" s="309"/>
      <c r="E367" s="309"/>
      <c r="F367" s="309"/>
      <c r="G367" s="309"/>
      <c r="H367" s="309"/>
      <c r="I367" s="309"/>
      <c r="J367" s="309"/>
      <c r="K367" s="310"/>
      <c r="L367" s="309"/>
      <c r="M367" s="309"/>
      <c r="N367" s="309"/>
      <c r="O367" s="309"/>
      <c r="P367" s="309"/>
      <c r="Q367" s="309"/>
      <c r="R367" s="309"/>
      <c r="S367" s="309"/>
      <c r="T367" s="309"/>
      <c r="U367" s="309"/>
      <c r="V367" s="309"/>
      <c r="W367" s="309"/>
      <c r="X367" s="309"/>
      <c r="Y367" s="309"/>
      <c r="Z367" s="309"/>
      <c r="AA367" s="309"/>
      <c r="AB367" s="309"/>
      <c r="AC367" s="309"/>
    </row>
    <row r="368" spans="1:29" ht="12.75" customHeight="1">
      <c r="A368" s="309"/>
      <c r="B368" s="309"/>
      <c r="C368" s="309"/>
      <c r="D368" s="309"/>
      <c r="E368" s="309"/>
      <c r="F368" s="309"/>
      <c r="G368" s="309"/>
      <c r="H368" s="309"/>
      <c r="I368" s="309"/>
      <c r="J368" s="309"/>
      <c r="K368" s="310"/>
      <c r="L368" s="309"/>
      <c r="M368" s="309"/>
      <c r="N368" s="309"/>
      <c r="O368" s="309"/>
      <c r="P368" s="309"/>
      <c r="Q368" s="309"/>
      <c r="R368" s="309"/>
      <c r="S368" s="309"/>
      <c r="T368" s="309"/>
      <c r="U368" s="309"/>
      <c r="V368" s="309"/>
      <c r="W368" s="309"/>
      <c r="X368" s="309"/>
      <c r="Y368" s="309"/>
      <c r="Z368" s="309"/>
      <c r="AA368" s="309"/>
      <c r="AB368" s="309"/>
      <c r="AC368" s="309"/>
    </row>
    <row r="369" spans="1:29" ht="12.75" customHeight="1">
      <c r="A369" s="309"/>
      <c r="B369" s="309"/>
      <c r="C369" s="309"/>
      <c r="D369" s="309"/>
      <c r="E369" s="309"/>
      <c r="F369" s="309"/>
      <c r="G369" s="309"/>
      <c r="H369" s="309"/>
      <c r="I369" s="309"/>
      <c r="J369" s="309"/>
      <c r="K369" s="310"/>
      <c r="L369" s="309"/>
      <c r="M369" s="309"/>
      <c r="N369" s="309"/>
      <c r="O369" s="309"/>
      <c r="P369" s="309"/>
      <c r="Q369" s="309"/>
      <c r="R369" s="309"/>
      <c r="S369" s="309"/>
      <c r="T369" s="309"/>
      <c r="U369" s="309"/>
      <c r="V369" s="309"/>
      <c r="W369" s="309"/>
      <c r="X369" s="309"/>
      <c r="Y369" s="309"/>
      <c r="Z369" s="309"/>
      <c r="AA369" s="309"/>
      <c r="AB369" s="309"/>
      <c r="AC369" s="309"/>
    </row>
    <row r="370" spans="1:29" ht="12.75" customHeight="1">
      <c r="A370" s="309"/>
      <c r="B370" s="309"/>
      <c r="C370" s="309"/>
      <c r="D370" s="309"/>
      <c r="E370" s="309"/>
      <c r="F370" s="309"/>
      <c r="G370" s="309"/>
      <c r="H370" s="309"/>
      <c r="I370" s="309"/>
      <c r="J370" s="309"/>
      <c r="K370" s="310"/>
      <c r="L370" s="309"/>
      <c r="M370" s="309"/>
      <c r="N370" s="309"/>
      <c r="O370" s="309"/>
      <c r="P370" s="309"/>
      <c r="Q370" s="309"/>
      <c r="R370" s="309"/>
      <c r="S370" s="309"/>
      <c r="T370" s="309"/>
      <c r="U370" s="309"/>
      <c r="V370" s="309"/>
      <c r="W370" s="309"/>
      <c r="X370" s="309"/>
      <c r="Y370" s="309"/>
      <c r="Z370" s="309"/>
      <c r="AA370" s="309"/>
      <c r="AB370" s="309"/>
      <c r="AC370" s="309"/>
    </row>
    <row r="371" spans="1:29" ht="12.75" customHeight="1">
      <c r="A371" s="309"/>
      <c r="B371" s="309"/>
      <c r="C371" s="309"/>
      <c r="D371" s="309"/>
      <c r="E371" s="309"/>
      <c r="F371" s="309"/>
      <c r="G371" s="309"/>
      <c r="H371" s="309"/>
      <c r="I371" s="309"/>
      <c r="J371" s="309"/>
      <c r="K371" s="310"/>
      <c r="L371" s="309"/>
      <c r="M371" s="309"/>
      <c r="N371" s="309"/>
      <c r="O371" s="309"/>
      <c r="P371" s="309"/>
      <c r="Q371" s="309"/>
      <c r="R371" s="309"/>
      <c r="S371" s="309"/>
      <c r="T371" s="309"/>
      <c r="U371" s="309"/>
      <c r="V371" s="309"/>
      <c r="W371" s="309"/>
      <c r="X371" s="309"/>
      <c r="Y371" s="309"/>
      <c r="Z371" s="309"/>
      <c r="AA371" s="309"/>
      <c r="AB371" s="309"/>
      <c r="AC371" s="309"/>
    </row>
    <row r="372" spans="1:29" ht="12.75" customHeight="1">
      <c r="A372" s="309"/>
      <c r="B372" s="309"/>
      <c r="C372" s="309"/>
      <c r="D372" s="309"/>
      <c r="E372" s="309"/>
      <c r="F372" s="309"/>
      <c r="G372" s="309"/>
      <c r="H372" s="309"/>
      <c r="I372" s="309"/>
      <c r="J372" s="309"/>
      <c r="K372" s="310"/>
      <c r="L372" s="309"/>
      <c r="M372" s="309"/>
      <c r="N372" s="309"/>
      <c r="O372" s="309"/>
      <c r="P372" s="309"/>
      <c r="Q372" s="309"/>
      <c r="R372" s="309"/>
      <c r="S372" s="309"/>
      <c r="T372" s="309"/>
      <c r="U372" s="309"/>
      <c r="V372" s="309"/>
      <c r="W372" s="309"/>
      <c r="X372" s="309"/>
      <c r="Y372" s="309"/>
      <c r="Z372" s="309"/>
      <c r="AA372" s="309"/>
      <c r="AB372" s="309"/>
      <c r="AC372" s="309"/>
    </row>
    <row r="373" spans="1:29" ht="12.75" customHeight="1">
      <c r="A373" s="309"/>
      <c r="B373" s="309"/>
      <c r="C373" s="309"/>
      <c r="D373" s="309"/>
      <c r="E373" s="309"/>
      <c r="F373" s="309"/>
      <c r="G373" s="309"/>
      <c r="H373" s="309"/>
      <c r="I373" s="309"/>
      <c r="J373" s="309"/>
      <c r="K373" s="310"/>
      <c r="L373" s="309"/>
      <c r="M373" s="309"/>
      <c r="N373" s="309"/>
      <c r="O373" s="309"/>
      <c r="P373" s="309"/>
      <c r="Q373" s="309"/>
      <c r="R373" s="309"/>
      <c r="S373" s="309"/>
      <c r="T373" s="309"/>
      <c r="U373" s="309"/>
      <c r="V373" s="309"/>
      <c r="W373" s="309"/>
      <c r="X373" s="309"/>
      <c r="Y373" s="309"/>
      <c r="Z373" s="309"/>
      <c r="AA373" s="309"/>
      <c r="AB373" s="309"/>
      <c r="AC373" s="309"/>
    </row>
    <row r="374" spans="1:29" ht="12.75" customHeight="1">
      <c r="A374" s="309"/>
      <c r="B374" s="309"/>
      <c r="C374" s="309"/>
      <c r="D374" s="309"/>
      <c r="E374" s="309"/>
      <c r="F374" s="309"/>
      <c r="G374" s="309"/>
      <c r="H374" s="309"/>
      <c r="I374" s="309"/>
      <c r="J374" s="309"/>
      <c r="K374" s="310"/>
      <c r="L374" s="309"/>
      <c r="M374" s="309"/>
      <c r="N374" s="309"/>
      <c r="O374" s="309"/>
      <c r="P374" s="309"/>
      <c r="Q374" s="309"/>
      <c r="R374" s="309"/>
      <c r="S374" s="309"/>
      <c r="T374" s="309"/>
      <c r="U374" s="309"/>
      <c r="V374" s="309"/>
      <c r="W374" s="309"/>
      <c r="X374" s="309"/>
      <c r="Y374" s="309"/>
      <c r="Z374" s="309"/>
      <c r="AA374" s="309"/>
      <c r="AB374" s="309"/>
      <c r="AC374" s="309"/>
    </row>
    <row r="375" spans="1:29" ht="12.75" customHeight="1">
      <c r="A375" s="309"/>
      <c r="B375" s="309"/>
      <c r="C375" s="309"/>
      <c r="D375" s="309"/>
      <c r="E375" s="309"/>
      <c r="F375" s="309"/>
      <c r="G375" s="309"/>
      <c r="H375" s="309"/>
      <c r="I375" s="309"/>
      <c r="J375" s="309"/>
      <c r="K375" s="310"/>
      <c r="L375" s="309"/>
      <c r="M375" s="309"/>
      <c r="N375" s="309"/>
      <c r="O375" s="309"/>
      <c r="P375" s="309"/>
      <c r="Q375" s="309"/>
      <c r="R375" s="309"/>
      <c r="S375" s="309"/>
      <c r="T375" s="309"/>
      <c r="U375" s="309"/>
      <c r="V375" s="309"/>
      <c r="W375" s="309"/>
      <c r="X375" s="309"/>
      <c r="Y375" s="309"/>
      <c r="Z375" s="309"/>
      <c r="AA375" s="309"/>
      <c r="AB375" s="309"/>
      <c r="AC375" s="309"/>
    </row>
    <row r="376" spans="1:29" ht="12.75" customHeight="1">
      <c r="A376" s="309"/>
      <c r="B376" s="309"/>
      <c r="C376" s="309"/>
      <c r="D376" s="309"/>
      <c r="E376" s="309"/>
      <c r="F376" s="309"/>
      <c r="G376" s="309"/>
      <c r="H376" s="309"/>
      <c r="I376" s="309"/>
      <c r="J376" s="309"/>
      <c r="K376" s="310"/>
      <c r="L376" s="309"/>
      <c r="M376" s="309"/>
      <c r="N376" s="309"/>
      <c r="O376" s="309"/>
      <c r="P376" s="309"/>
      <c r="Q376" s="309"/>
      <c r="R376" s="309"/>
      <c r="S376" s="309"/>
      <c r="T376" s="309"/>
      <c r="U376" s="309"/>
      <c r="V376" s="309"/>
      <c r="W376" s="309"/>
      <c r="X376" s="309"/>
      <c r="Y376" s="309"/>
      <c r="Z376" s="309"/>
      <c r="AA376" s="309"/>
      <c r="AB376" s="309"/>
      <c r="AC376" s="309"/>
    </row>
    <row r="377" spans="1:29" ht="12.75" customHeight="1">
      <c r="A377" s="309"/>
      <c r="B377" s="309"/>
      <c r="C377" s="309"/>
      <c r="D377" s="309"/>
      <c r="E377" s="309"/>
      <c r="F377" s="309"/>
      <c r="G377" s="309"/>
      <c r="H377" s="309"/>
      <c r="I377" s="309"/>
      <c r="J377" s="309"/>
      <c r="K377" s="310"/>
      <c r="L377" s="309"/>
      <c r="M377" s="309"/>
      <c r="N377" s="309"/>
      <c r="O377" s="309"/>
      <c r="P377" s="309"/>
      <c r="Q377" s="309"/>
      <c r="R377" s="309"/>
      <c r="S377" s="309"/>
      <c r="T377" s="309"/>
      <c r="U377" s="309"/>
      <c r="V377" s="309"/>
      <c r="W377" s="309"/>
      <c r="X377" s="309"/>
      <c r="Y377" s="309"/>
      <c r="Z377" s="309"/>
      <c r="AA377" s="309"/>
      <c r="AB377" s="309"/>
      <c r="AC377" s="309"/>
    </row>
    <row r="378" spans="1:29" ht="12.75" customHeight="1">
      <c r="A378" s="309"/>
      <c r="B378" s="309"/>
      <c r="C378" s="309"/>
      <c r="D378" s="309"/>
      <c r="E378" s="309"/>
      <c r="F378" s="309"/>
      <c r="G378" s="309"/>
      <c r="H378" s="309"/>
      <c r="I378" s="309"/>
      <c r="J378" s="309"/>
      <c r="K378" s="310"/>
      <c r="L378" s="309"/>
      <c r="M378" s="309"/>
      <c r="N378" s="309"/>
      <c r="O378" s="309"/>
      <c r="P378" s="309"/>
      <c r="Q378" s="309"/>
      <c r="R378" s="309"/>
      <c r="S378" s="309"/>
      <c r="T378" s="309"/>
      <c r="U378" s="309"/>
      <c r="V378" s="309"/>
      <c r="W378" s="309"/>
      <c r="X378" s="309"/>
      <c r="Y378" s="309"/>
      <c r="Z378" s="309"/>
      <c r="AA378" s="309"/>
      <c r="AB378" s="309"/>
      <c r="AC378" s="309"/>
    </row>
    <row r="379" spans="1:29" ht="12.75" customHeight="1">
      <c r="A379" s="309"/>
      <c r="B379" s="309"/>
      <c r="C379" s="309"/>
      <c r="D379" s="309"/>
      <c r="E379" s="309"/>
      <c r="F379" s="309"/>
      <c r="G379" s="309"/>
      <c r="H379" s="309"/>
      <c r="I379" s="309"/>
      <c r="J379" s="309"/>
      <c r="K379" s="310"/>
      <c r="L379" s="309"/>
      <c r="M379" s="309"/>
      <c r="N379" s="309"/>
      <c r="O379" s="309"/>
      <c r="P379" s="309"/>
      <c r="Q379" s="309"/>
      <c r="R379" s="309"/>
      <c r="S379" s="309"/>
      <c r="T379" s="309"/>
      <c r="U379" s="309"/>
      <c r="V379" s="309"/>
      <c r="W379" s="309"/>
      <c r="X379" s="309"/>
      <c r="Y379" s="309"/>
      <c r="Z379" s="309"/>
      <c r="AA379" s="309"/>
      <c r="AB379" s="309"/>
      <c r="AC379" s="309"/>
    </row>
    <row r="380" spans="1:29" ht="12.75" customHeight="1">
      <c r="A380" s="309"/>
      <c r="B380" s="309"/>
      <c r="C380" s="309"/>
      <c r="D380" s="309"/>
      <c r="E380" s="309"/>
      <c r="F380" s="309"/>
      <c r="G380" s="309"/>
      <c r="H380" s="309"/>
      <c r="I380" s="309"/>
      <c r="J380" s="309"/>
      <c r="K380" s="310"/>
      <c r="L380" s="309"/>
      <c r="M380" s="309"/>
      <c r="N380" s="309"/>
      <c r="O380" s="309"/>
      <c r="P380" s="309"/>
      <c r="Q380" s="309"/>
      <c r="R380" s="309"/>
      <c r="S380" s="309"/>
      <c r="T380" s="309"/>
      <c r="U380" s="309"/>
      <c r="V380" s="309"/>
      <c r="W380" s="309"/>
      <c r="X380" s="309"/>
      <c r="Y380" s="309"/>
      <c r="Z380" s="309"/>
      <c r="AA380" s="309"/>
      <c r="AB380" s="309"/>
      <c r="AC380" s="309"/>
    </row>
    <row r="381" spans="1:29" ht="12.75" customHeight="1">
      <c r="A381" s="309"/>
      <c r="B381" s="309"/>
      <c r="C381" s="309"/>
      <c r="D381" s="309"/>
      <c r="E381" s="309"/>
      <c r="F381" s="309"/>
      <c r="G381" s="309"/>
      <c r="H381" s="309"/>
      <c r="I381" s="309"/>
      <c r="J381" s="309"/>
      <c r="K381" s="310"/>
      <c r="L381" s="309"/>
      <c r="M381" s="309"/>
      <c r="N381" s="309"/>
      <c r="O381" s="309"/>
      <c r="P381" s="309"/>
      <c r="Q381" s="309"/>
      <c r="R381" s="309"/>
      <c r="S381" s="309"/>
      <c r="T381" s="309"/>
      <c r="U381" s="309"/>
      <c r="V381" s="309"/>
      <c r="W381" s="309"/>
      <c r="X381" s="309"/>
      <c r="Y381" s="309"/>
      <c r="Z381" s="309"/>
      <c r="AA381" s="309"/>
      <c r="AB381" s="309"/>
      <c r="AC381" s="309"/>
    </row>
    <row r="382" spans="1:29" ht="12.75" customHeight="1">
      <c r="A382" s="309"/>
      <c r="B382" s="309"/>
      <c r="C382" s="309"/>
      <c r="D382" s="309"/>
      <c r="E382" s="309"/>
      <c r="F382" s="309"/>
      <c r="G382" s="309"/>
      <c r="H382" s="309"/>
      <c r="I382" s="309"/>
      <c r="J382" s="309"/>
      <c r="K382" s="310"/>
      <c r="L382" s="309"/>
      <c r="M382" s="309"/>
      <c r="N382" s="309"/>
      <c r="O382" s="309"/>
      <c r="P382" s="309"/>
      <c r="Q382" s="309"/>
      <c r="R382" s="309"/>
      <c r="S382" s="309"/>
      <c r="T382" s="309"/>
      <c r="U382" s="309"/>
      <c r="V382" s="309"/>
      <c r="W382" s="309"/>
      <c r="X382" s="309"/>
      <c r="Y382" s="309"/>
      <c r="Z382" s="309"/>
      <c r="AA382" s="309"/>
      <c r="AB382" s="309"/>
      <c r="AC382" s="309"/>
    </row>
    <row r="383" spans="1:29" ht="12.75" customHeight="1">
      <c r="A383" s="309"/>
      <c r="B383" s="309"/>
      <c r="C383" s="309"/>
      <c r="D383" s="309"/>
      <c r="E383" s="309"/>
      <c r="F383" s="309"/>
      <c r="G383" s="309"/>
      <c r="H383" s="309"/>
      <c r="I383" s="309"/>
      <c r="J383" s="309"/>
      <c r="K383" s="310"/>
      <c r="L383" s="309"/>
      <c r="M383" s="309"/>
      <c r="N383" s="309"/>
      <c r="O383" s="309"/>
      <c r="P383" s="309"/>
      <c r="Q383" s="309"/>
      <c r="R383" s="309"/>
      <c r="S383" s="309"/>
      <c r="T383" s="309"/>
      <c r="U383" s="309"/>
      <c r="V383" s="309"/>
      <c r="W383" s="309"/>
      <c r="X383" s="309"/>
      <c r="Y383" s="309"/>
      <c r="Z383" s="309"/>
      <c r="AA383" s="309"/>
      <c r="AB383" s="309"/>
      <c r="AC383" s="309"/>
    </row>
    <row r="384" spans="1:29" ht="12.75" customHeight="1">
      <c r="A384" s="309"/>
      <c r="B384" s="309"/>
      <c r="C384" s="309"/>
      <c r="D384" s="309"/>
      <c r="E384" s="309"/>
      <c r="F384" s="309"/>
      <c r="G384" s="309"/>
      <c r="H384" s="309"/>
      <c r="I384" s="309"/>
      <c r="J384" s="309"/>
      <c r="K384" s="310"/>
      <c r="L384" s="309"/>
      <c r="M384" s="309"/>
      <c r="N384" s="309"/>
      <c r="O384" s="309"/>
      <c r="P384" s="309"/>
      <c r="Q384" s="309"/>
      <c r="R384" s="309"/>
      <c r="S384" s="309"/>
      <c r="T384" s="309"/>
      <c r="U384" s="309"/>
      <c r="V384" s="309"/>
      <c r="W384" s="309"/>
      <c r="X384" s="309"/>
      <c r="Y384" s="309"/>
      <c r="Z384" s="309"/>
      <c r="AA384" s="309"/>
      <c r="AB384" s="309"/>
      <c r="AC384" s="309"/>
    </row>
    <row r="385" spans="1:29" ht="12.75" customHeight="1">
      <c r="A385" s="309"/>
      <c r="B385" s="309"/>
      <c r="C385" s="309"/>
      <c r="D385" s="309"/>
      <c r="E385" s="309"/>
      <c r="F385" s="309"/>
      <c r="G385" s="309"/>
      <c r="H385" s="309"/>
      <c r="I385" s="309"/>
      <c r="J385" s="309"/>
      <c r="K385" s="310"/>
      <c r="L385" s="309"/>
      <c r="M385" s="309"/>
      <c r="N385" s="309"/>
      <c r="O385" s="309"/>
      <c r="P385" s="309"/>
      <c r="Q385" s="309"/>
      <c r="R385" s="309"/>
      <c r="S385" s="309"/>
      <c r="T385" s="309"/>
      <c r="U385" s="309"/>
      <c r="V385" s="309"/>
      <c r="W385" s="309"/>
      <c r="X385" s="309"/>
      <c r="Y385" s="309"/>
      <c r="Z385" s="309"/>
      <c r="AA385" s="309"/>
      <c r="AB385" s="309"/>
      <c r="AC385" s="309"/>
    </row>
    <row r="386" spans="1:29" ht="12.75" customHeight="1">
      <c r="A386" s="309"/>
      <c r="B386" s="309"/>
      <c r="C386" s="309"/>
      <c r="D386" s="309"/>
      <c r="E386" s="309"/>
      <c r="F386" s="309"/>
      <c r="G386" s="309"/>
      <c r="H386" s="309"/>
      <c r="I386" s="309"/>
      <c r="J386" s="309"/>
      <c r="K386" s="310"/>
      <c r="L386" s="309"/>
      <c r="M386" s="309"/>
      <c r="N386" s="309"/>
      <c r="O386" s="309"/>
      <c r="P386" s="309"/>
      <c r="Q386" s="309"/>
      <c r="R386" s="309"/>
      <c r="S386" s="309"/>
      <c r="T386" s="309"/>
      <c r="U386" s="309"/>
      <c r="V386" s="309"/>
      <c r="W386" s="309"/>
      <c r="X386" s="309"/>
      <c r="Y386" s="309"/>
      <c r="Z386" s="309"/>
      <c r="AA386" s="309"/>
      <c r="AB386" s="309"/>
      <c r="AC386" s="309"/>
    </row>
    <row r="387" spans="1:29" ht="12.75" customHeight="1">
      <c r="A387" s="309"/>
      <c r="B387" s="309"/>
      <c r="C387" s="309"/>
      <c r="D387" s="309"/>
      <c r="E387" s="309"/>
      <c r="F387" s="309"/>
      <c r="G387" s="309"/>
      <c r="H387" s="309"/>
      <c r="I387" s="309"/>
      <c r="J387" s="309"/>
      <c r="K387" s="310"/>
      <c r="L387" s="309"/>
      <c r="M387" s="309"/>
      <c r="N387" s="309"/>
      <c r="O387" s="309"/>
      <c r="P387" s="309"/>
      <c r="Q387" s="309"/>
      <c r="R387" s="309"/>
      <c r="S387" s="309"/>
      <c r="T387" s="309"/>
      <c r="U387" s="309"/>
      <c r="V387" s="309"/>
      <c r="W387" s="309"/>
      <c r="X387" s="309"/>
      <c r="Y387" s="309"/>
      <c r="Z387" s="309"/>
      <c r="AA387" s="309"/>
      <c r="AB387" s="309"/>
      <c r="AC387" s="309"/>
    </row>
    <row r="388" spans="1:29" ht="12.75" customHeight="1">
      <c r="A388" s="309"/>
      <c r="B388" s="309"/>
      <c r="C388" s="309"/>
      <c r="D388" s="309"/>
      <c r="E388" s="309"/>
      <c r="F388" s="309"/>
      <c r="G388" s="309"/>
      <c r="H388" s="309"/>
      <c r="I388" s="309"/>
      <c r="J388" s="309"/>
      <c r="K388" s="310"/>
      <c r="L388" s="309"/>
      <c r="M388" s="309"/>
      <c r="N388" s="309"/>
      <c r="O388" s="309"/>
      <c r="P388" s="309"/>
      <c r="Q388" s="309"/>
      <c r="R388" s="309"/>
      <c r="S388" s="309"/>
      <c r="T388" s="309"/>
      <c r="U388" s="309"/>
      <c r="V388" s="309"/>
      <c r="W388" s="309"/>
      <c r="X388" s="309"/>
      <c r="Y388" s="309"/>
      <c r="Z388" s="309"/>
      <c r="AA388" s="309"/>
      <c r="AB388" s="309"/>
      <c r="AC388" s="309"/>
    </row>
    <row r="389" spans="1:29" ht="12.75" customHeight="1">
      <c r="A389" s="309"/>
      <c r="B389" s="309"/>
      <c r="C389" s="309"/>
      <c r="D389" s="309"/>
      <c r="E389" s="309"/>
      <c r="F389" s="309"/>
      <c r="G389" s="309"/>
      <c r="H389" s="309"/>
      <c r="I389" s="309"/>
      <c r="J389" s="309"/>
      <c r="K389" s="310"/>
      <c r="L389" s="309"/>
      <c r="M389" s="309"/>
      <c r="N389" s="309"/>
      <c r="O389" s="309"/>
      <c r="P389" s="309"/>
      <c r="Q389" s="309"/>
      <c r="R389" s="309"/>
      <c r="S389" s="309"/>
      <c r="T389" s="309"/>
      <c r="U389" s="309"/>
      <c r="V389" s="309"/>
      <c r="W389" s="309"/>
      <c r="X389" s="309"/>
      <c r="Y389" s="309"/>
      <c r="Z389" s="309"/>
      <c r="AA389" s="309"/>
      <c r="AB389" s="309"/>
      <c r="AC389" s="309"/>
    </row>
    <row r="390" spans="1:29" ht="12.75" customHeight="1">
      <c r="A390" s="309"/>
      <c r="B390" s="309"/>
      <c r="C390" s="309"/>
      <c r="D390" s="309"/>
      <c r="E390" s="309"/>
      <c r="F390" s="309"/>
      <c r="G390" s="309"/>
      <c r="H390" s="309"/>
      <c r="I390" s="309"/>
      <c r="J390" s="309"/>
      <c r="K390" s="310"/>
      <c r="L390" s="309"/>
      <c r="M390" s="309"/>
      <c r="N390" s="309"/>
      <c r="O390" s="309"/>
      <c r="P390" s="309"/>
      <c r="Q390" s="309"/>
      <c r="R390" s="309"/>
      <c r="S390" s="309"/>
      <c r="T390" s="309"/>
      <c r="U390" s="309"/>
      <c r="V390" s="309"/>
      <c r="W390" s="309"/>
      <c r="X390" s="309"/>
      <c r="Y390" s="309"/>
      <c r="Z390" s="309"/>
      <c r="AA390" s="309"/>
      <c r="AB390" s="309"/>
      <c r="AC390" s="309"/>
    </row>
    <row r="391" spans="1:29" ht="12.75" customHeight="1">
      <c r="A391" s="309"/>
      <c r="B391" s="309"/>
      <c r="C391" s="309"/>
      <c r="D391" s="309"/>
      <c r="E391" s="309"/>
      <c r="F391" s="309"/>
      <c r="G391" s="309"/>
      <c r="H391" s="309"/>
      <c r="I391" s="309"/>
      <c r="J391" s="309"/>
      <c r="K391" s="310"/>
      <c r="L391" s="309"/>
      <c r="M391" s="309"/>
      <c r="N391" s="309"/>
      <c r="O391" s="309"/>
      <c r="P391" s="309"/>
      <c r="Q391" s="309"/>
      <c r="R391" s="309"/>
      <c r="S391" s="309"/>
      <c r="T391" s="309"/>
      <c r="U391" s="309"/>
      <c r="V391" s="309"/>
      <c r="W391" s="309"/>
      <c r="X391" s="309"/>
      <c r="Y391" s="309"/>
      <c r="Z391" s="309"/>
      <c r="AA391" s="309"/>
      <c r="AB391" s="309"/>
      <c r="AC391" s="309"/>
    </row>
    <row r="392" spans="1:29" ht="12.75" customHeight="1">
      <c r="A392" s="309"/>
      <c r="B392" s="309"/>
      <c r="C392" s="309"/>
      <c r="D392" s="309"/>
      <c r="E392" s="309"/>
      <c r="F392" s="309"/>
      <c r="G392" s="309"/>
      <c r="H392" s="309"/>
      <c r="I392" s="309"/>
      <c r="J392" s="309"/>
      <c r="K392" s="310"/>
      <c r="L392" s="309"/>
      <c r="M392" s="309"/>
      <c r="N392" s="309"/>
      <c r="O392" s="309"/>
      <c r="P392" s="309"/>
      <c r="Q392" s="309"/>
      <c r="R392" s="309"/>
      <c r="S392" s="309"/>
      <c r="T392" s="309"/>
      <c r="U392" s="309"/>
      <c r="V392" s="309"/>
      <c r="W392" s="309"/>
      <c r="X392" s="309"/>
      <c r="Y392" s="309"/>
      <c r="Z392" s="309"/>
      <c r="AA392" s="309"/>
      <c r="AB392" s="309"/>
      <c r="AC392" s="309"/>
    </row>
    <row r="393" spans="1:29" ht="12.75" customHeight="1">
      <c r="A393" s="309"/>
      <c r="B393" s="309"/>
      <c r="C393" s="309"/>
      <c r="D393" s="309"/>
      <c r="E393" s="309"/>
      <c r="F393" s="309"/>
      <c r="G393" s="309"/>
      <c r="H393" s="309"/>
      <c r="I393" s="309"/>
      <c r="J393" s="309"/>
      <c r="K393" s="310"/>
      <c r="L393" s="309"/>
      <c r="M393" s="309"/>
      <c r="N393" s="309"/>
      <c r="O393" s="309"/>
      <c r="P393" s="309"/>
      <c r="Q393" s="309"/>
      <c r="R393" s="309"/>
      <c r="S393" s="309"/>
      <c r="T393" s="309"/>
      <c r="U393" s="309"/>
      <c r="V393" s="309"/>
      <c r="W393" s="309"/>
      <c r="X393" s="309"/>
      <c r="Y393" s="309"/>
      <c r="Z393" s="309"/>
      <c r="AA393" s="309"/>
      <c r="AB393" s="309"/>
      <c r="AC393" s="309"/>
    </row>
    <row r="394" spans="1:29" ht="12.75" customHeight="1">
      <c r="A394" s="309"/>
      <c r="B394" s="309"/>
      <c r="C394" s="309"/>
      <c r="D394" s="309"/>
      <c r="E394" s="309"/>
      <c r="F394" s="309"/>
      <c r="G394" s="309"/>
      <c r="H394" s="309"/>
      <c r="I394" s="309"/>
      <c r="J394" s="309"/>
      <c r="K394" s="310"/>
      <c r="L394" s="309"/>
      <c r="M394" s="309"/>
      <c r="N394" s="309"/>
      <c r="O394" s="309"/>
      <c r="P394" s="309"/>
      <c r="Q394" s="309"/>
      <c r="R394" s="309"/>
      <c r="S394" s="309"/>
      <c r="T394" s="309"/>
      <c r="U394" s="309"/>
      <c r="V394" s="309"/>
      <c r="W394" s="309"/>
      <c r="X394" s="309"/>
      <c r="Y394" s="309"/>
      <c r="Z394" s="309"/>
      <c r="AA394" s="309"/>
      <c r="AB394" s="309"/>
      <c r="AC394" s="309"/>
    </row>
    <row r="395" spans="1:29" ht="12.75" customHeight="1">
      <c r="A395" s="309"/>
      <c r="B395" s="309"/>
      <c r="C395" s="309"/>
      <c r="D395" s="309"/>
      <c r="E395" s="309"/>
      <c r="F395" s="309"/>
      <c r="G395" s="309"/>
      <c r="H395" s="309"/>
      <c r="I395" s="309"/>
      <c r="J395" s="309"/>
      <c r="K395" s="310"/>
      <c r="L395" s="309"/>
      <c r="M395" s="309"/>
      <c r="N395" s="309"/>
      <c r="O395" s="309"/>
      <c r="P395" s="309"/>
      <c r="Q395" s="309"/>
      <c r="R395" s="309"/>
      <c r="S395" s="309"/>
      <c r="T395" s="309"/>
      <c r="U395" s="309"/>
      <c r="V395" s="309"/>
      <c r="W395" s="309"/>
      <c r="X395" s="309"/>
      <c r="Y395" s="309"/>
      <c r="Z395" s="309"/>
      <c r="AA395" s="309"/>
      <c r="AB395" s="309"/>
      <c r="AC395" s="309"/>
    </row>
    <row r="396" spans="1:29" ht="12.75" customHeight="1">
      <c r="A396" s="309"/>
      <c r="B396" s="309"/>
      <c r="C396" s="309"/>
      <c r="D396" s="309"/>
      <c r="E396" s="309"/>
      <c r="F396" s="309"/>
      <c r="G396" s="309"/>
      <c r="H396" s="309"/>
      <c r="I396" s="309"/>
      <c r="J396" s="309"/>
      <c r="K396" s="310"/>
      <c r="L396" s="309"/>
      <c r="M396" s="309"/>
      <c r="N396" s="309"/>
      <c r="O396" s="309"/>
      <c r="P396" s="309"/>
      <c r="Q396" s="309"/>
      <c r="R396" s="309"/>
      <c r="S396" s="309"/>
      <c r="T396" s="309"/>
      <c r="U396" s="309"/>
      <c r="V396" s="309"/>
      <c r="W396" s="309"/>
      <c r="X396" s="309"/>
      <c r="Y396" s="309"/>
      <c r="Z396" s="309"/>
      <c r="AA396" s="309"/>
      <c r="AB396" s="309"/>
      <c r="AC396" s="309"/>
    </row>
    <row r="397" spans="1:29" ht="12.75" customHeight="1">
      <c r="A397" s="309"/>
      <c r="B397" s="309"/>
      <c r="C397" s="309"/>
      <c r="D397" s="309"/>
      <c r="E397" s="309"/>
      <c r="F397" s="309"/>
      <c r="G397" s="309"/>
      <c r="H397" s="309"/>
      <c r="I397" s="309"/>
      <c r="J397" s="309"/>
      <c r="K397" s="310"/>
      <c r="L397" s="309"/>
      <c r="M397" s="309"/>
      <c r="N397" s="309"/>
      <c r="O397" s="309"/>
      <c r="P397" s="309"/>
      <c r="Q397" s="309"/>
      <c r="R397" s="309"/>
      <c r="S397" s="309"/>
      <c r="T397" s="309"/>
      <c r="U397" s="309"/>
      <c r="V397" s="309"/>
      <c r="W397" s="309"/>
      <c r="X397" s="309"/>
      <c r="Y397" s="309"/>
      <c r="Z397" s="309"/>
      <c r="AA397" s="309"/>
      <c r="AB397" s="309"/>
      <c r="AC397" s="309"/>
    </row>
    <row r="398" spans="1:29" ht="12.75" customHeight="1">
      <c r="A398" s="309"/>
      <c r="B398" s="309"/>
      <c r="C398" s="309"/>
      <c r="D398" s="309"/>
      <c r="E398" s="309"/>
      <c r="F398" s="309"/>
      <c r="G398" s="309"/>
      <c r="H398" s="309"/>
      <c r="I398" s="309"/>
      <c r="J398" s="309"/>
      <c r="K398" s="310"/>
      <c r="L398" s="309"/>
      <c r="M398" s="309"/>
      <c r="N398" s="309"/>
      <c r="O398" s="309"/>
      <c r="P398" s="309"/>
      <c r="Q398" s="309"/>
      <c r="R398" s="309"/>
      <c r="S398" s="309"/>
      <c r="T398" s="309"/>
      <c r="U398" s="309"/>
      <c r="V398" s="309"/>
      <c r="W398" s="309"/>
      <c r="X398" s="309"/>
      <c r="Y398" s="309"/>
      <c r="Z398" s="309"/>
      <c r="AA398" s="309"/>
      <c r="AB398" s="309"/>
      <c r="AC398" s="309"/>
    </row>
    <row r="399" spans="1:29" ht="12.75" customHeight="1">
      <c r="A399" s="309"/>
      <c r="B399" s="309"/>
      <c r="C399" s="309"/>
      <c r="D399" s="309"/>
      <c r="E399" s="309"/>
      <c r="F399" s="309"/>
      <c r="G399" s="309"/>
      <c r="H399" s="309"/>
      <c r="I399" s="309"/>
      <c r="J399" s="309"/>
      <c r="K399" s="310"/>
      <c r="L399" s="309"/>
      <c r="M399" s="309"/>
      <c r="N399" s="309"/>
      <c r="O399" s="309"/>
      <c r="P399" s="309"/>
      <c r="Q399" s="309"/>
      <c r="R399" s="309"/>
      <c r="S399" s="309"/>
      <c r="T399" s="309"/>
      <c r="U399" s="309"/>
      <c r="V399" s="309"/>
      <c r="W399" s="309"/>
      <c r="X399" s="309"/>
      <c r="Y399" s="309"/>
      <c r="Z399" s="309"/>
      <c r="AA399" s="309"/>
      <c r="AB399" s="309"/>
      <c r="AC399" s="309"/>
    </row>
    <row r="400" spans="1:29" ht="12.75" customHeight="1">
      <c r="A400" s="309"/>
      <c r="B400" s="309"/>
      <c r="C400" s="309"/>
      <c r="D400" s="309"/>
      <c r="E400" s="309"/>
      <c r="F400" s="309"/>
      <c r="G400" s="309"/>
      <c r="H400" s="309"/>
      <c r="I400" s="309"/>
      <c r="J400" s="309"/>
      <c r="K400" s="310"/>
      <c r="L400" s="309"/>
      <c r="M400" s="309"/>
      <c r="N400" s="309"/>
      <c r="O400" s="309"/>
      <c r="P400" s="309"/>
      <c r="Q400" s="309"/>
      <c r="R400" s="309"/>
      <c r="S400" s="309"/>
      <c r="T400" s="309"/>
      <c r="U400" s="309"/>
      <c r="V400" s="309"/>
      <c r="W400" s="309"/>
      <c r="X400" s="309"/>
      <c r="Y400" s="309"/>
      <c r="Z400" s="309"/>
      <c r="AA400" s="309"/>
      <c r="AB400" s="309"/>
      <c r="AC400" s="309"/>
    </row>
    <row r="401" spans="1:29" ht="12.75" customHeight="1">
      <c r="A401" s="309"/>
      <c r="B401" s="309"/>
      <c r="C401" s="309"/>
      <c r="D401" s="309"/>
      <c r="E401" s="309"/>
      <c r="F401" s="309"/>
      <c r="G401" s="309"/>
      <c r="H401" s="309"/>
      <c r="I401" s="309"/>
      <c r="J401" s="309"/>
      <c r="K401" s="310"/>
      <c r="L401" s="309"/>
      <c r="M401" s="309"/>
      <c r="N401" s="309"/>
      <c r="O401" s="309"/>
      <c r="P401" s="309"/>
      <c r="Q401" s="309"/>
      <c r="R401" s="309"/>
      <c r="S401" s="309"/>
      <c r="T401" s="309"/>
      <c r="U401" s="309"/>
      <c r="V401" s="309"/>
      <c r="W401" s="309"/>
      <c r="X401" s="309"/>
      <c r="Y401" s="309"/>
      <c r="Z401" s="309"/>
      <c r="AA401" s="309"/>
      <c r="AB401" s="309"/>
      <c r="AC401" s="309"/>
    </row>
    <row r="402" spans="1:29" ht="12.75" customHeight="1">
      <c r="A402" s="309"/>
      <c r="B402" s="309"/>
      <c r="C402" s="309"/>
      <c r="D402" s="309"/>
      <c r="E402" s="309"/>
      <c r="F402" s="309"/>
      <c r="G402" s="309"/>
      <c r="H402" s="309"/>
      <c r="I402" s="309"/>
      <c r="J402" s="309"/>
      <c r="K402" s="310"/>
      <c r="L402" s="309"/>
      <c r="M402" s="309"/>
      <c r="N402" s="309"/>
      <c r="O402" s="309"/>
      <c r="P402" s="309"/>
      <c r="Q402" s="309"/>
      <c r="R402" s="309"/>
      <c r="S402" s="309"/>
      <c r="T402" s="309"/>
      <c r="U402" s="309"/>
      <c r="V402" s="309"/>
      <c r="W402" s="309"/>
      <c r="X402" s="309"/>
      <c r="Y402" s="309"/>
      <c r="Z402" s="309"/>
      <c r="AA402" s="309"/>
      <c r="AB402" s="309"/>
      <c r="AC402" s="309"/>
    </row>
    <row r="403" spans="1:29" ht="12.75" customHeight="1">
      <c r="A403" s="309"/>
      <c r="B403" s="309"/>
      <c r="C403" s="309"/>
      <c r="D403" s="309"/>
      <c r="E403" s="309"/>
      <c r="F403" s="309"/>
      <c r="G403" s="309"/>
      <c r="H403" s="309"/>
      <c r="I403" s="309"/>
      <c r="J403" s="309"/>
      <c r="K403" s="310"/>
      <c r="L403" s="309"/>
      <c r="M403" s="309"/>
      <c r="N403" s="309"/>
      <c r="O403" s="309"/>
      <c r="P403" s="309"/>
      <c r="Q403" s="309"/>
      <c r="R403" s="309"/>
      <c r="S403" s="309"/>
      <c r="T403" s="309"/>
      <c r="U403" s="309"/>
      <c r="V403" s="309"/>
      <c r="W403" s="309"/>
      <c r="X403" s="309"/>
      <c r="Y403" s="309"/>
      <c r="Z403" s="309"/>
      <c r="AA403" s="309"/>
      <c r="AB403" s="309"/>
      <c r="AC403" s="309"/>
    </row>
    <row r="404" spans="1:29" ht="12.75" customHeight="1">
      <c r="A404" s="309"/>
      <c r="B404" s="309"/>
      <c r="C404" s="309"/>
      <c r="D404" s="309"/>
      <c r="E404" s="309"/>
      <c r="F404" s="309"/>
      <c r="G404" s="309"/>
      <c r="H404" s="309"/>
      <c r="I404" s="309"/>
      <c r="J404" s="309"/>
      <c r="K404" s="310"/>
      <c r="L404" s="309"/>
      <c r="M404" s="309"/>
      <c r="N404" s="309"/>
      <c r="O404" s="309"/>
      <c r="P404" s="309"/>
      <c r="Q404" s="309"/>
      <c r="R404" s="309"/>
      <c r="S404" s="309"/>
      <c r="T404" s="309"/>
      <c r="U404" s="309"/>
      <c r="V404" s="309"/>
      <c r="W404" s="309"/>
      <c r="X404" s="309"/>
      <c r="Y404" s="309"/>
      <c r="Z404" s="309"/>
      <c r="AA404" s="309"/>
      <c r="AB404" s="309"/>
      <c r="AC404" s="309"/>
    </row>
    <row r="405" spans="1:29" ht="12.75" customHeight="1">
      <c r="A405" s="309"/>
      <c r="B405" s="309"/>
      <c r="C405" s="309"/>
      <c r="D405" s="309"/>
      <c r="E405" s="309"/>
      <c r="F405" s="309"/>
      <c r="G405" s="309"/>
      <c r="H405" s="309"/>
      <c r="I405" s="309"/>
      <c r="J405" s="309"/>
      <c r="K405" s="310"/>
      <c r="L405" s="309"/>
      <c r="M405" s="309"/>
      <c r="N405" s="309"/>
      <c r="O405" s="309"/>
      <c r="P405" s="309"/>
      <c r="Q405" s="309"/>
      <c r="R405" s="309"/>
      <c r="S405" s="309"/>
      <c r="T405" s="309"/>
      <c r="U405" s="309"/>
      <c r="V405" s="309"/>
      <c r="W405" s="309"/>
      <c r="X405" s="309"/>
      <c r="Y405" s="309"/>
      <c r="Z405" s="309"/>
      <c r="AA405" s="309"/>
      <c r="AB405" s="309"/>
      <c r="AC405" s="309"/>
    </row>
    <row r="406" spans="1:29" ht="12.75" customHeight="1">
      <c r="A406" s="309"/>
      <c r="B406" s="309"/>
      <c r="C406" s="309"/>
      <c r="D406" s="309"/>
      <c r="E406" s="309"/>
      <c r="F406" s="309"/>
      <c r="G406" s="309"/>
      <c r="H406" s="309"/>
      <c r="I406" s="309"/>
      <c r="J406" s="309"/>
      <c r="K406" s="310"/>
      <c r="L406" s="309"/>
      <c r="M406" s="309"/>
      <c r="N406" s="309"/>
      <c r="O406" s="309"/>
      <c r="P406" s="309"/>
      <c r="Q406" s="309"/>
      <c r="R406" s="309"/>
      <c r="S406" s="309"/>
      <c r="T406" s="309"/>
      <c r="U406" s="309"/>
      <c r="V406" s="309"/>
      <c r="W406" s="309"/>
      <c r="X406" s="309"/>
      <c r="Y406" s="309"/>
      <c r="Z406" s="309"/>
      <c r="AA406" s="309"/>
      <c r="AB406" s="309"/>
      <c r="AC406" s="309"/>
    </row>
    <row r="407" spans="1:29" ht="12.75" customHeight="1">
      <c r="A407" s="309"/>
      <c r="B407" s="309"/>
      <c r="C407" s="309"/>
      <c r="D407" s="309"/>
      <c r="E407" s="309"/>
      <c r="F407" s="309"/>
      <c r="G407" s="309"/>
      <c r="H407" s="309"/>
      <c r="I407" s="309"/>
      <c r="J407" s="309"/>
      <c r="K407" s="310"/>
      <c r="L407" s="309"/>
      <c r="M407" s="309"/>
      <c r="N407" s="309"/>
      <c r="O407" s="309"/>
      <c r="P407" s="309"/>
      <c r="Q407" s="309"/>
      <c r="R407" s="309"/>
      <c r="S407" s="309"/>
      <c r="T407" s="309"/>
      <c r="U407" s="309"/>
      <c r="V407" s="309"/>
      <c r="W407" s="309"/>
      <c r="X407" s="309"/>
      <c r="Y407" s="309"/>
      <c r="Z407" s="309"/>
      <c r="AA407" s="309"/>
      <c r="AB407" s="309"/>
      <c r="AC407" s="309"/>
    </row>
    <row r="408" spans="1:29" ht="12.75" customHeight="1">
      <c r="A408" s="309"/>
      <c r="B408" s="309"/>
      <c r="C408" s="309"/>
      <c r="D408" s="309"/>
      <c r="E408" s="309"/>
      <c r="F408" s="309"/>
      <c r="G408" s="309"/>
      <c r="H408" s="309"/>
      <c r="I408" s="309"/>
      <c r="J408" s="309"/>
      <c r="K408" s="310"/>
      <c r="L408" s="309"/>
      <c r="M408" s="309"/>
      <c r="N408" s="309"/>
      <c r="O408" s="309"/>
      <c r="P408" s="309"/>
      <c r="Q408" s="309"/>
      <c r="R408" s="309"/>
      <c r="S408" s="309"/>
      <c r="T408" s="309"/>
      <c r="U408" s="309"/>
      <c r="V408" s="309"/>
      <c r="W408" s="309"/>
      <c r="X408" s="309"/>
      <c r="Y408" s="309"/>
      <c r="Z408" s="309"/>
      <c r="AA408" s="309"/>
      <c r="AB408" s="309"/>
      <c r="AC408" s="309"/>
    </row>
    <row r="409" spans="1:29" ht="12.75" customHeight="1">
      <c r="A409" s="309"/>
      <c r="B409" s="309"/>
      <c r="C409" s="309"/>
      <c r="D409" s="309"/>
      <c r="E409" s="309"/>
      <c r="F409" s="309"/>
      <c r="G409" s="309"/>
      <c r="H409" s="309"/>
      <c r="I409" s="309"/>
      <c r="J409" s="309"/>
      <c r="K409" s="310"/>
      <c r="L409" s="309"/>
      <c r="M409" s="309"/>
      <c r="N409" s="309"/>
      <c r="O409" s="309"/>
      <c r="P409" s="309"/>
      <c r="Q409" s="309"/>
      <c r="R409" s="309"/>
      <c r="S409" s="309"/>
      <c r="T409" s="309"/>
      <c r="U409" s="309"/>
      <c r="V409" s="309"/>
      <c r="W409" s="309"/>
      <c r="X409" s="309"/>
      <c r="Y409" s="309"/>
      <c r="Z409" s="309"/>
      <c r="AA409" s="309"/>
      <c r="AB409" s="309"/>
      <c r="AC409" s="309"/>
    </row>
    <row r="410" spans="1:29" ht="12.75" customHeight="1">
      <c r="A410" s="309"/>
      <c r="B410" s="309"/>
      <c r="C410" s="309"/>
      <c r="D410" s="309"/>
      <c r="E410" s="309"/>
      <c r="F410" s="309"/>
      <c r="G410" s="309"/>
      <c r="H410" s="309"/>
      <c r="I410" s="309"/>
      <c r="J410" s="309"/>
      <c r="K410" s="310"/>
      <c r="L410" s="309"/>
      <c r="M410" s="309"/>
      <c r="N410" s="309"/>
      <c r="O410" s="309"/>
      <c r="P410" s="309"/>
      <c r="Q410" s="309"/>
      <c r="R410" s="309"/>
      <c r="S410" s="309"/>
      <c r="T410" s="309"/>
      <c r="U410" s="309"/>
      <c r="V410" s="309"/>
      <c r="W410" s="309"/>
      <c r="X410" s="309"/>
      <c r="Y410" s="309"/>
      <c r="Z410" s="309"/>
      <c r="AA410" s="309"/>
      <c r="AB410" s="309"/>
      <c r="AC410" s="309"/>
    </row>
    <row r="411" spans="1:29" ht="12.75" customHeight="1">
      <c r="A411" s="309"/>
      <c r="B411" s="309"/>
      <c r="C411" s="309"/>
      <c r="D411" s="309"/>
      <c r="E411" s="309"/>
      <c r="F411" s="309"/>
      <c r="G411" s="309"/>
      <c r="H411" s="309"/>
      <c r="I411" s="309"/>
      <c r="J411" s="309"/>
      <c r="K411" s="310"/>
      <c r="L411" s="309"/>
      <c r="M411" s="309"/>
      <c r="N411" s="309"/>
      <c r="O411" s="309"/>
      <c r="P411" s="309"/>
      <c r="Q411" s="309"/>
      <c r="R411" s="309"/>
      <c r="S411" s="309"/>
      <c r="T411" s="309"/>
      <c r="U411" s="309"/>
      <c r="V411" s="309"/>
      <c r="W411" s="309"/>
      <c r="X411" s="309"/>
      <c r="Y411" s="309"/>
      <c r="Z411" s="309"/>
      <c r="AA411" s="309"/>
      <c r="AB411" s="309"/>
      <c r="AC411" s="309"/>
    </row>
    <row r="412" spans="1:29" ht="12.75" customHeight="1">
      <c r="A412" s="309"/>
      <c r="B412" s="309"/>
      <c r="C412" s="309"/>
      <c r="D412" s="309"/>
      <c r="E412" s="309"/>
      <c r="F412" s="309"/>
      <c r="G412" s="309"/>
      <c r="H412" s="309"/>
      <c r="I412" s="309"/>
      <c r="J412" s="309"/>
      <c r="K412" s="310"/>
      <c r="L412" s="309"/>
      <c r="M412" s="309"/>
      <c r="N412" s="309"/>
      <c r="O412" s="309"/>
      <c r="P412" s="309"/>
      <c r="Q412" s="309"/>
      <c r="R412" s="309"/>
      <c r="S412" s="309"/>
      <c r="T412" s="309"/>
      <c r="U412" s="309"/>
      <c r="V412" s="309"/>
      <c r="W412" s="309"/>
      <c r="X412" s="309"/>
      <c r="Y412" s="309"/>
      <c r="Z412" s="309"/>
      <c r="AA412" s="309"/>
      <c r="AB412" s="309"/>
      <c r="AC412" s="309"/>
    </row>
    <row r="413" spans="1:29" ht="12.75" customHeight="1">
      <c r="A413" s="309"/>
      <c r="B413" s="309"/>
      <c r="C413" s="309"/>
      <c r="D413" s="309"/>
      <c r="E413" s="309"/>
      <c r="F413" s="309"/>
      <c r="G413" s="309"/>
      <c r="H413" s="309"/>
      <c r="I413" s="309"/>
      <c r="J413" s="309"/>
      <c r="K413" s="310"/>
      <c r="L413" s="309"/>
      <c r="M413" s="309"/>
      <c r="N413" s="309"/>
      <c r="O413" s="309"/>
      <c r="P413" s="309"/>
      <c r="Q413" s="309"/>
      <c r="R413" s="309"/>
      <c r="S413" s="309"/>
      <c r="T413" s="309"/>
      <c r="U413" s="309"/>
      <c r="V413" s="309"/>
      <c r="W413" s="309"/>
      <c r="X413" s="309"/>
      <c r="Y413" s="309"/>
      <c r="Z413" s="309"/>
      <c r="AA413" s="309"/>
      <c r="AB413" s="309"/>
      <c r="AC413" s="309"/>
    </row>
    <row r="414" spans="1:29" ht="12.75" customHeight="1">
      <c r="A414" s="309"/>
      <c r="B414" s="309"/>
      <c r="C414" s="309"/>
      <c r="D414" s="309"/>
      <c r="E414" s="309"/>
      <c r="F414" s="309"/>
      <c r="G414" s="309"/>
      <c r="H414" s="309"/>
      <c r="I414" s="309"/>
      <c r="J414" s="309"/>
      <c r="K414" s="310"/>
      <c r="L414" s="309"/>
      <c r="M414" s="309"/>
      <c r="N414" s="309"/>
      <c r="O414" s="309"/>
      <c r="P414" s="309"/>
      <c r="Q414" s="309"/>
      <c r="R414" s="309"/>
      <c r="S414" s="309"/>
      <c r="T414" s="309"/>
      <c r="U414" s="309"/>
      <c r="V414" s="309"/>
      <c r="W414" s="309"/>
      <c r="X414" s="309"/>
      <c r="Y414" s="309"/>
      <c r="Z414" s="309"/>
      <c r="AA414" s="309"/>
      <c r="AB414" s="309"/>
      <c r="AC414" s="309"/>
    </row>
    <row r="415" spans="1:29" ht="12.75" customHeight="1">
      <c r="A415" s="309"/>
      <c r="B415" s="309"/>
      <c r="C415" s="309"/>
      <c r="D415" s="309"/>
      <c r="E415" s="309"/>
      <c r="F415" s="309"/>
      <c r="G415" s="309"/>
      <c r="H415" s="309"/>
      <c r="I415" s="309"/>
      <c r="J415" s="309"/>
      <c r="K415" s="310"/>
      <c r="L415" s="309"/>
      <c r="M415" s="309"/>
      <c r="N415" s="309"/>
      <c r="O415" s="309"/>
      <c r="P415" s="309"/>
      <c r="Q415" s="309"/>
      <c r="R415" s="309"/>
      <c r="S415" s="309"/>
      <c r="T415" s="309"/>
      <c r="U415" s="309"/>
      <c r="V415" s="309"/>
      <c r="W415" s="309"/>
      <c r="X415" s="309"/>
      <c r="Y415" s="309"/>
      <c r="Z415" s="309"/>
      <c r="AA415" s="309"/>
      <c r="AB415" s="309"/>
      <c r="AC415" s="309"/>
    </row>
    <row r="416" spans="1:29" ht="12.75" customHeight="1">
      <c r="A416" s="309"/>
      <c r="B416" s="309"/>
      <c r="C416" s="309"/>
      <c r="D416" s="309"/>
      <c r="E416" s="309"/>
      <c r="F416" s="309"/>
      <c r="G416" s="309"/>
      <c r="H416" s="309"/>
      <c r="I416" s="309"/>
      <c r="J416" s="309"/>
      <c r="K416" s="310"/>
      <c r="L416" s="309"/>
      <c r="M416" s="309"/>
      <c r="N416" s="309"/>
      <c r="O416" s="309"/>
      <c r="P416" s="309"/>
      <c r="Q416" s="309"/>
      <c r="R416" s="309"/>
      <c r="S416" s="309"/>
      <c r="T416" s="309"/>
      <c r="U416" s="309"/>
      <c r="V416" s="309"/>
      <c r="W416" s="309"/>
      <c r="X416" s="309"/>
      <c r="Y416" s="309"/>
      <c r="Z416" s="309"/>
      <c r="AA416" s="309"/>
      <c r="AB416" s="309"/>
      <c r="AC416" s="309"/>
    </row>
    <row r="417" spans="1:29" ht="12.75" customHeight="1">
      <c r="A417" s="309"/>
      <c r="B417" s="309"/>
      <c r="C417" s="309"/>
      <c r="D417" s="309"/>
      <c r="E417" s="309"/>
      <c r="F417" s="309"/>
      <c r="G417" s="309"/>
      <c r="H417" s="309"/>
      <c r="I417" s="309"/>
      <c r="J417" s="309"/>
      <c r="K417" s="310"/>
      <c r="L417" s="309"/>
      <c r="M417" s="309"/>
      <c r="N417" s="309"/>
      <c r="O417" s="309"/>
      <c r="P417" s="309"/>
      <c r="Q417" s="309"/>
      <c r="R417" s="309"/>
      <c r="S417" s="309"/>
      <c r="T417" s="309"/>
      <c r="U417" s="309"/>
      <c r="V417" s="309"/>
      <c r="W417" s="309"/>
      <c r="X417" s="309"/>
      <c r="Y417" s="309"/>
      <c r="Z417" s="309"/>
      <c r="AA417" s="309"/>
      <c r="AB417" s="309"/>
      <c r="AC417" s="309"/>
    </row>
    <row r="418" spans="1:29" ht="12.75" customHeight="1">
      <c r="A418" s="309"/>
      <c r="B418" s="309"/>
      <c r="C418" s="309"/>
      <c r="D418" s="309"/>
      <c r="E418" s="309"/>
      <c r="F418" s="309"/>
      <c r="G418" s="309"/>
      <c r="H418" s="309"/>
      <c r="I418" s="309"/>
      <c r="J418" s="309"/>
      <c r="K418" s="310"/>
      <c r="L418" s="309"/>
      <c r="M418" s="309"/>
      <c r="N418" s="309"/>
      <c r="O418" s="309"/>
      <c r="P418" s="309"/>
      <c r="Q418" s="309"/>
      <c r="R418" s="309"/>
      <c r="S418" s="309"/>
      <c r="T418" s="309"/>
      <c r="U418" s="309"/>
      <c r="V418" s="309"/>
      <c r="W418" s="309"/>
      <c r="X418" s="309"/>
      <c r="Y418" s="309"/>
      <c r="Z418" s="309"/>
      <c r="AA418" s="309"/>
      <c r="AB418" s="309"/>
      <c r="AC418" s="309"/>
    </row>
    <row r="419" spans="1:29" ht="12.75" customHeight="1">
      <c r="A419" s="309"/>
      <c r="B419" s="309"/>
      <c r="C419" s="309"/>
      <c r="D419" s="309"/>
      <c r="E419" s="309"/>
      <c r="F419" s="309"/>
      <c r="G419" s="309"/>
      <c r="H419" s="309"/>
      <c r="I419" s="309"/>
      <c r="J419" s="309"/>
      <c r="K419" s="310"/>
      <c r="L419" s="309"/>
      <c r="M419" s="309"/>
      <c r="N419" s="309"/>
      <c r="O419" s="309"/>
      <c r="P419" s="309"/>
      <c r="Q419" s="309"/>
      <c r="R419" s="309"/>
      <c r="S419" s="309"/>
      <c r="T419" s="309"/>
      <c r="U419" s="309"/>
      <c r="V419" s="309"/>
      <c r="W419" s="309"/>
      <c r="X419" s="309"/>
      <c r="Y419" s="309"/>
      <c r="Z419" s="309"/>
      <c r="AA419" s="309"/>
      <c r="AB419" s="309"/>
      <c r="AC419" s="309"/>
    </row>
    <row r="420" spans="1:29" ht="12.75" customHeight="1">
      <c r="A420" s="309"/>
      <c r="B420" s="309"/>
      <c r="C420" s="309"/>
      <c r="D420" s="309"/>
      <c r="E420" s="309"/>
      <c r="F420" s="309"/>
      <c r="G420" s="309"/>
      <c r="H420" s="309"/>
      <c r="I420" s="309"/>
      <c r="J420" s="309"/>
      <c r="K420" s="310"/>
      <c r="L420" s="309"/>
      <c r="M420" s="309"/>
      <c r="N420" s="309"/>
      <c r="O420" s="309"/>
      <c r="P420" s="309"/>
      <c r="Q420" s="309"/>
      <c r="R420" s="309"/>
      <c r="S420" s="309"/>
      <c r="T420" s="309"/>
      <c r="U420" s="309"/>
      <c r="V420" s="309"/>
      <c r="W420" s="309"/>
      <c r="X420" s="309"/>
      <c r="Y420" s="309"/>
      <c r="Z420" s="309"/>
      <c r="AA420" s="309"/>
      <c r="AB420" s="309"/>
      <c r="AC420" s="309"/>
    </row>
    <row r="421" spans="1:29" ht="12.75" customHeight="1">
      <c r="A421" s="309"/>
      <c r="B421" s="309"/>
      <c r="C421" s="309"/>
      <c r="D421" s="309"/>
      <c r="E421" s="309"/>
      <c r="F421" s="309"/>
      <c r="G421" s="309"/>
      <c r="H421" s="309"/>
      <c r="I421" s="309"/>
      <c r="J421" s="309"/>
      <c r="K421" s="310"/>
      <c r="L421" s="309"/>
      <c r="M421" s="309"/>
      <c r="N421" s="309"/>
      <c r="O421" s="309"/>
      <c r="P421" s="309"/>
      <c r="Q421" s="309"/>
      <c r="R421" s="309"/>
      <c r="S421" s="309"/>
      <c r="T421" s="309"/>
      <c r="U421" s="309"/>
      <c r="V421" s="309"/>
      <c r="W421" s="309"/>
      <c r="X421" s="309"/>
      <c r="Y421" s="309"/>
      <c r="Z421" s="309"/>
      <c r="AA421" s="309"/>
      <c r="AB421" s="309"/>
      <c r="AC421" s="309"/>
    </row>
    <row r="422" spans="1:29" ht="12.75" customHeight="1">
      <c r="A422" s="309"/>
      <c r="B422" s="309"/>
      <c r="C422" s="309"/>
      <c r="D422" s="309"/>
      <c r="E422" s="309"/>
      <c r="F422" s="309"/>
      <c r="G422" s="309"/>
      <c r="H422" s="309"/>
      <c r="I422" s="309"/>
      <c r="J422" s="309"/>
      <c r="K422" s="310"/>
      <c r="L422" s="309"/>
      <c r="M422" s="309"/>
      <c r="N422" s="309"/>
      <c r="O422" s="309"/>
      <c r="P422" s="309"/>
      <c r="Q422" s="309"/>
      <c r="R422" s="309"/>
      <c r="S422" s="309"/>
      <c r="T422" s="309"/>
      <c r="U422" s="309"/>
      <c r="V422" s="309"/>
      <c r="W422" s="309"/>
      <c r="X422" s="309"/>
      <c r="Y422" s="309"/>
      <c r="Z422" s="309"/>
      <c r="AA422" s="309"/>
      <c r="AB422" s="309"/>
      <c r="AC422" s="309"/>
    </row>
    <row r="423" spans="1:29" ht="12.75" customHeight="1">
      <c r="A423" s="309"/>
      <c r="B423" s="309"/>
      <c r="C423" s="309"/>
      <c r="D423" s="309"/>
      <c r="E423" s="309"/>
      <c r="F423" s="309"/>
      <c r="G423" s="309"/>
      <c r="H423" s="309"/>
      <c r="I423" s="309"/>
      <c r="J423" s="309"/>
      <c r="K423" s="310"/>
      <c r="L423" s="309"/>
      <c r="M423" s="309"/>
      <c r="N423" s="309"/>
      <c r="O423" s="309"/>
      <c r="P423" s="309"/>
      <c r="Q423" s="309"/>
      <c r="R423" s="309"/>
      <c r="S423" s="309"/>
      <c r="T423" s="309"/>
      <c r="U423" s="309"/>
      <c r="V423" s="309"/>
      <c r="W423" s="309"/>
      <c r="X423" s="309"/>
      <c r="Y423" s="309"/>
      <c r="Z423" s="309"/>
      <c r="AA423" s="309"/>
      <c r="AB423" s="309"/>
      <c r="AC423" s="309"/>
    </row>
    <row r="424" spans="1:29" ht="12.75" customHeight="1">
      <c r="A424" s="309"/>
      <c r="B424" s="309"/>
      <c r="C424" s="309"/>
      <c r="D424" s="309"/>
      <c r="E424" s="309"/>
      <c r="F424" s="309"/>
      <c r="G424" s="309"/>
      <c r="H424" s="309"/>
      <c r="I424" s="309"/>
      <c r="J424" s="309"/>
      <c r="K424" s="310"/>
      <c r="L424" s="309"/>
      <c r="M424" s="309"/>
      <c r="N424" s="309"/>
      <c r="O424" s="309"/>
      <c r="P424" s="309"/>
      <c r="Q424" s="309"/>
      <c r="R424" s="309"/>
      <c r="S424" s="309"/>
      <c r="T424" s="309"/>
      <c r="U424" s="309"/>
      <c r="V424" s="309"/>
      <c r="W424" s="309"/>
      <c r="X424" s="309"/>
      <c r="Y424" s="309"/>
      <c r="Z424" s="309"/>
      <c r="AA424" s="309"/>
      <c r="AB424" s="309"/>
      <c r="AC424" s="309"/>
    </row>
    <row r="425" spans="1:29" ht="12.75" customHeight="1">
      <c r="A425" s="309"/>
      <c r="B425" s="309"/>
      <c r="C425" s="309"/>
      <c r="D425" s="309"/>
      <c r="E425" s="309"/>
      <c r="F425" s="309"/>
      <c r="G425" s="309"/>
      <c r="H425" s="309"/>
      <c r="I425" s="309"/>
      <c r="J425" s="309"/>
      <c r="K425" s="310"/>
      <c r="L425" s="309"/>
      <c r="M425" s="309"/>
      <c r="N425" s="309"/>
      <c r="O425" s="309"/>
      <c r="P425" s="309"/>
      <c r="Q425" s="309"/>
      <c r="R425" s="309"/>
      <c r="S425" s="309"/>
      <c r="T425" s="309"/>
      <c r="U425" s="309"/>
      <c r="V425" s="309"/>
      <c r="W425" s="309"/>
      <c r="X425" s="309"/>
      <c r="Y425" s="309"/>
      <c r="Z425" s="309"/>
      <c r="AA425" s="309"/>
      <c r="AB425" s="309"/>
      <c r="AC425" s="309"/>
    </row>
    <row r="426" spans="1:29" ht="12.75" customHeight="1">
      <c r="A426" s="309"/>
      <c r="B426" s="309"/>
      <c r="C426" s="309"/>
      <c r="D426" s="309"/>
      <c r="E426" s="309"/>
      <c r="F426" s="309"/>
      <c r="G426" s="309"/>
      <c r="H426" s="309"/>
      <c r="I426" s="309"/>
      <c r="J426" s="309"/>
      <c r="K426" s="310"/>
      <c r="L426" s="309"/>
      <c r="M426" s="309"/>
      <c r="N426" s="309"/>
      <c r="O426" s="309"/>
      <c r="P426" s="309"/>
      <c r="Q426" s="309"/>
      <c r="R426" s="309"/>
      <c r="S426" s="309"/>
      <c r="T426" s="309"/>
      <c r="U426" s="309"/>
      <c r="V426" s="309"/>
      <c r="W426" s="309"/>
      <c r="X426" s="309"/>
      <c r="Y426" s="309"/>
      <c r="Z426" s="309"/>
      <c r="AA426" s="309"/>
      <c r="AB426" s="309"/>
      <c r="AC426" s="309"/>
    </row>
    <row r="427" spans="1:29" ht="12.75" customHeight="1">
      <c r="A427" s="309"/>
      <c r="B427" s="309"/>
      <c r="C427" s="309"/>
      <c r="D427" s="309"/>
      <c r="E427" s="309"/>
      <c r="F427" s="309"/>
      <c r="G427" s="309"/>
      <c r="H427" s="309"/>
      <c r="I427" s="309"/>
      <c r="J427" s="309"/>
      <c r="K427" s="310"/>
      <c r="L427" s="309"/>
      <c r="M427" s="309"/>
      <c r="N427" s="309"/>
      <c r="O427" s="309"/>
      <c r="P427" s="309"/>
      <c r="Q427" s="309"/>
      <c r="R427" s="309"/>
      <c r="S427" s="309"/>
      <c r="T427" s="309"/>
      <c r="U427" s="309"/>
      <c r="V427" s="309"/>
      <c r="W427" s="309"/>
      <c r="X427" s="309"/>
      <c r="Y427" s="309"/>
      <c r="Z427" s="309"/>
      <c r="AA427" s="309"/>
      <c r="AB427" s="309"/>
      <c r="AC427" s="309"/>
    </row>
    <row r="428" spans="1:29" ht="12.75" customHeight="1">
      <c r="A428" s="309"/>
      <c r="B428" s="309"/>
      <c r="C428" s="309"/>
      <c r="D428" s="309"/>
      <c r="E428" s="309"/>
      <c r="F428" s="309"/>
      <c r="G428" s="309"/>
      <c r="H428" s="309"/>
      <c r="I428" s="309"/>
      <c r="J428" s="309"/>
      <c r="K428" s="310"/>
      <c r="L428" s="309"/>
      <c r="M428" s="309"/>
      <c r="N428" s="309"/>
      <c r="O428" s="309"/>
      <c r="P428" s="309"/>
      <c r="Q428" s="309"/>
      <c r="R428" s="309"/>
      <c r="S428" s="309"/>
      <c r="T428" s="309"/>
      <c r="U428" s="309"/>
      <c r="V428" s="309"/>
      <c r="W428" s="309"/>
      <c r="X428" s="309"/>
      <c r="Y428" s="309"/>
      <c r="Z428" s="309"/>
      <c r="AA428" s="309"/>
      <c r="AB428" s="309"/>
      <c r="AC428" s="309"/>
    </row>
    <row r="429" spans="1:29" ht="12.75" customHeight="1">
      <c r="A429" s="309"/>
      <c r="B429" s="309"/>
      <c r="C429" s="309"/>
      <c r="D429" s="309"/>
      <c r="E429" s="309"/>
      <c r="F429" s="309"/>
      <c r="G429" s="309"/>
      <c r="H429" s="309"/>
      <c r="I429" s="309"/>
      <c r="J429" s="309"/>
      <c r="K429" s="310"/>
      <c r="L429" s="309"/>
      <c r="M429" s="309"/>
      <c r="N429" s="309"/>
      <c r="O429" s="309"/>
      <c r="P429" s="309"/>
      <c r="Q429" s="309"/>
      <c r="R429" s="309"/>
      <c r="S429" s="309"/>
      <c r="T429" s="309"/>
      <c r="U429" s="309"/>
      <c r="V429" s="309"/>
      <c r="W429" s="309"/>
      <c r="X429" s="309"/>
      <c r="Y429" s="309"/>
      <c r="Z429" s="309"/>
      <c r="AA429" s="309"/>
      <c r="AB429" s="309"/>
      <c r="AC429" s="309"/>
    </row>
    <row r="430" spans="1:29" ht="12.75" customHeight="1">
      <c r="A430" s="309"/>
      <c r="B430" s="309"/>
      <c r="C430" s="309"/>
      <c r="D430" s="309"/>
      <c r="E430" s="309"/>
      <c r="F430" s="309"/>
      <c r="G430" s="309"/>
      <c r="H430" s="309"/>
      <c r="I430" s="309"/>
      <c r="J430" s="309"/>
      <c r="K430" s="310"/>
      <c r="L430" s="309"/>
      <c r="M430" s="309"/>
      <c r="N430" s="309"/>
      <c r="O430" s="309"/>
      <c r="P430" s="309"/>
      <c r="Q430" s="309"/>
      <c r="R430" s="309"/>
      <c r="S430" s="309"/>
      <c r="T430" s="309"/>
      <c r="U430" s="309"/>
      <c r="V430" s="309"/>
      <c r="W430" s="309"/>
      <c r="X430" s="309"/>
      <c r="Y430" s="309"/>
      <c r="Z430" s="309"/>
      <c r="AA430" s="309"/>
      <c r="AB430" s="309"/>
      <c r="AC430" s="309"/>
    </row>
    <row r="431" spans="1:29" ht="12.75" customHeight="1">
      <c r="A431" s="309"/>
      <c r="B431" s="309"/>
      <c r="C431" s="309"/>
      <c r="D431" s="309"/>
      <c r="E431" s="309"/>
      <c r="F431" s="309"/>
      <c r="G431" s="309"/>
      <c r="H431" s="309"/>
      <c r="I431" s="309"/>
      <c r="J431" s="309"/>
      <c r="K431" s="310"/>
      <c r="L431" s="309"/>
      <c r="M431" s="309"/>
      <c r="N431" s="309"/>
      <c r="O431" s="309"/>
      <c r="P431" s="309"/>
      <c r="Q431" s="309"/>
      <c r="R431" s="309"/>
      <c r="S431" s="309"/>
      <c r="T431" s="309"/>
      <c r="U431" s="309"/>
      <c r="V431" s="309"/>
      <c r="W431" s="309"/>
      <c r="X431" s="309"/>
      <c r="Y431" s="309"/>
      <c r="Z431" s="309"/>
      <c r="AA431" s="309"/>
      <c r="AB431" s="309"/>
      <c r="AC431" s="309"/>
    </row>
    <row r="432" spans="1:29" ht="12.75" customHeight="1">
      <c r="A432" s="309"/>
      <c r="B432" s="309"/>
      <c r="C432" s="309"/>
      <c r="D432" s="309"/>
      <c r="E432" s="309"/>
      <c r="F432" s="309"/>
      <c r="G432" s="309"/>
      <c r="H432" s="309"/>
      <c r="I432" s="309"/>
      <c r="J432" s="309"/>
      <c r="K432" s="310"/>
      <c r="L432" s="309"/>
      <c r="M432" s="309"/>
      <c r="N432" s="309"/>
      <c r="O432" s="309"/>
      <c r="P432" s="309"/>
      <c r="Q432" s="309"/>
      <c r="R432" s="309"/>
      <c r="S432" s="309"/>
      <c r="T432" s="309"/>
      <c r="U432" s="309"/>
      <c r="V432" s="309"/>
      <c r="W432" s="309"/>
      <c r="X432" s="309"/>
      <c r="Y432" s="309"/>
      <c r="Z432" s="309"/>
      <c r="AA432" s="309"/>
      <c r="AB432" s="309"/>
      <c r="AC432" s="309"/>
    </row>
    <row r="433" spans="1:29" ht="12.75" customHeight="1">
      <c r="A433" s="309"/>
      <c r="B433" s="309"/>
      <c r="C433" s="309"/>
      <c r="D433" s="309"/>
      <c r="E433" s="309"/>
      <c r="F433" s="309"/>
      <c r="G433" s="309"/>
      <c r="H433" s="309"/>
      <c r="I433" s="309"/>
      <c r="J433" s="309"/>
      <c r="K433" s="310"/>
      <c r="L433" s="309"/>
      <c r="M433" s="309"/>
      <c r="N433" s="309"/>
      <c r="O433" s="309"/>
      <c r="P433" s="309"/>
      <c r="Q433" s="309"/>
      <c r="R433" s="309"/>
      <c r="S433" s="309"/>
      <c r="T433" s="309"/>
      <c r="U433" s="309"/>
      <c r="V433" s="309"/>
      <c r="W433" s="309"/>
      <c r="X433" s="309"/>
      <c r="Y433" s="309"/>
      <c r="Z433" s="309"/>
      <c r="AA433" s="309"/>
      <c r="AB433" s="309"/>
      <c r="AC433" s="309"/>
    </row>
    <row r="434" spans="1:29" ht="12.75" customHeight="1">
      <c r="A434" s="309"/>
      <c r="B434" s="309"/>
      <c r="C434" s="309"/>
      <c r="D434" s="309"/>
      <c r="E434" s="309"/>
      <c r="F434" s="309"/>
      <c r="G434" s="309"/>
      <c r="H434" s="309"/>
      <c r="I434" s="309"/>
      <c r="J434" s="309"/>
      <c r="K434" s="310"/>
      <c r="L434" s="309"/>
      <c r="M434" s="309"/>
      <c r="N434" s="309"/>
      <c r="O434" s="309"/>
      <c r="P434" s="309"/>
      <c r="Q434" s="309"/>
      <c r="R434" s="309"/>
      <c r="S434" s="309"/>
      <c r="T434" s="309"/>
      <c r="U434" s="309"/>
      <c r="V434" s="309"/>
      <c r="W434" s="309"/>
      <c r="X434" s="309"/>
      <c r="Y434" s="309"/>
      <c r="Z434" s="309"/>
      <c r="AA434" s="309"/>
      <c r="AB434" s="309"/>
      <c r="AC434" s="309"/>
    </row>
    <row r="435" spans="1:29" ht="12.75" customHeight="1">
      <c r="A435" s="309"/>
      <c r="B435" s="309"/>
      <c r="C435" s="309"/>
      <c r="D435" s="309"/>
      <c r="E435" s="309"/>
      <c r="F435" s="309"/>
      <c r="G435" s="309"/>
      <c r="H435" s="309"/>
      <c r="I435" s="309"/>
      <c r="J435" s="309"/>
      <c r="K435" s="310"/>
      <c r="L435" s="309"/>
      <c r="M435" s="309"/>
      <c r="N435" s="309"/>
      <c r="O435" s="309"/>
      <c r="P435" s="309"/>
      <c r="Q435" s="309"/>
      <c r="R435" s="309"/>
      <c r="S435" s="309"/>
      <c r="T435" s="309"/>
      <c r="U435" s="309"/>
      <c r="V435" s="309"/>
      <c r="W435" s="309"/>
      <c r="X435" s="309"/>
      <c r="Y435" s="309"/>
      <c r="Z435" s="309"/>
      <c r="AA435" s="309"/>
      <c r="AB435" s="309"/>
      <c r="AC435" s="309"/>
    </row>
    <row r="436" spans="1:29" ht="12.75" customHeight="1">
      <c r="A436" s="309"/>
      <c r="B436" s="309"/>
      <c r="C436" s="309"/>
      <c r="D436" s="309"/>
      <c r="E436" s="309"/>
      <c r="F436" s="309"/>
      <c r="G436" s="309"/>
      <c r="H436" s="309"/>
      <c r="I436" s="309"/>
      <c r="J436" s="309"/>
      <c r="K436" s="310"/>
      <c r="L436" s="309"/>
      <c r="M436" s="309"/>
      <c r="N436" s="309"/>
      <c r="O436" s="309"/>
      <c r="P436" s="309"/>
      <c r="Q436" s="309"/>
      <c r="R436" s="309"/>
      <c r="S436" s="309"/>
      <c r="T436" s="309"/>
      <c r="U436" s="309"/>
      <c r="V436" s="309"/>
      <c r="W436" s="309"/>
      <c r="X436" s="309"/>
      <c r="Y436" s="309"/>
      <c r="Z436" s="309"/>
      <c r="AA436" s="309"/>
      <c r="AB436" s="309"/>
      <c r="AC436" s="309"/>
    </row>
    <row r="437" spans="1:29" ht="12.75" customHeight="1">
      <c r="A437" s="309"/>
      <c r="B437" s="309"/>
      <c r="C437" s="309"/>
      <c r="D437" s="309"/>
      <c r="E437" s="309"/>
      <c r="F437" s="309"/>
      <c r="G437" s="309"/>
      <c r="H437" s="309"/>
      <c r="I437" s="309"/>
      <c r="J437" s="309"/>
      <c r="K437" s="310"/>
      <c r="L437" s="309"/>
      <c r="M437" s="309"/>
      <c r="N437" s="309"/>
      <c r="O437" s="309"/>
      <c r="P437" s="309"/>
      <c r="Q437" s="309"/>
      <c r="R437" s="309"/>
      <c r="S437" s="309"/>
      <c r="T437" s="309"/>
      <c r="U437" s="309"/>
      <c r="V437" s="309"/>
      <c r="W437" s="309"/>
      <c r="X437" s="309"/>
      <c r="Y437" s="309"/>
      <c r="Z437" s="309"/>
      <c r="AA437" s="309"/>
      <c r="AB437" s="309"/>
      <c r="AC437" s="309"/>
    </row>
    <row r="438" spans="1:29" ht="12.75" customHeight="1">
      <c r="A438" s="309"/>
      <c r="B438" s="309"/>
      <c r="C438" s="309"/>
      <c r="D438" s="309"/>
      <c r="E438" s="309"/>
      <c r="F438" s="309"/>
      <c r="G438" s="309"/>
      <c r="H438" s="309"/>
      <c r="I438" s="309"/>
      <c r="J438" s="309"/>
      <c r="K438" s="310"/>
      <c r="L438" s="309"/>
      <c r="M438" s="309"/>
      <c r="N438" s="309"/>
      <c r="O438" s="309"/>
      <c r="P438" s="309"/>
      <c r="Q438" s="309"/>
      <c r="R438" s="309"/>
      <c r="S438" s="309"/>
      <c r="T438" s="309"/>
      <c r="U438" s="309"/>
      <c r="V438" s="309"/>
      <c r="W438" s="309"/>
      <c r="X438" s="309"/>
      <c r="Y438" s="309"/>
      <c r="Z438" s="309"/>
      <c r="AA438" s="309"/>
      <c r="AB438" s="309"/>
      <c r="AC438" s="309"/>
    </row>
    <row r="439" spans="1:29" ht="12.75" customHeight="1">
      <c r="A439" s="309"/>
      <c r="B439" s="309"/>
      <c r="C439" s="309"/>
      <c r="D439" s="309"/>
      <c r="E439" s="309"/>
      <c r="F439" s="309"/>
      <c r="G439" s="309"/>
      <c r="H439" s="309"/>
      <c r="I439" s="309"/>
      <c r="J439" s="309"/>
      <c r="K439" s="310"/>
      <c r="L439" s="309"/>
      <c r="M439" s="309"/>
      <c r="N439" s="309"/>
      <c r="O439" s="309"/>
      <c r="P439" s="309"/>
      <c r="Q439" s="309"/>
      <c r="R439" s="309"/>
      <c r="S439" s="309"/>
      <c r="T439" s="309"/>
      <c r="U439" s="309"/>
      <c r="V439" s="309"/>
      <c r="W439" s="309"/>
      <c r="X439" s="309"/>
      <c r="Y439" s="309"/>
      <c r="Z439" s="309"/>
      <c r="AA439" s="309"/>
      <c r="AB439" s="309"/>
      <c r="AC439" s="309"/>
    </row>
    <row r="440" spans="1:29" ht="12.75" customHeight="1">
      <c r="A440" s="309"/>
      <c r="B440" s="309"/>
      <c r="C440" s="309"/>
      <c r="D440" s="309"/>
      <c r="E440" s="309"/>
      <c r="F440" s="309"/>
      <c r="G440" s="309"/>
      <c r="H440" s="309"/>
      <c r="I440" s="309"/>
      <c r="J440" s="309"/>
      <c r="K440" s="310"/>
      <c r="L440" s="309"/>
      <c r="M440" s="309"/>
      <c r="N440" s="309"/>
      <c r="O440" s="309"/>
      <c r="P440" s="309"/>
      <c r="Q440" s="309"/>
      <c r="R440" s="309"/>
      <c r="S440" s="309"/>
      <c r="T440" s="309"/>
      <c r="U440" s="309"/>
      <c r="V440" s="309"/>
      <c r="W440" s="309"/>
      <c r="X440" s="309"/>
      <c r="Y440" s="309"/>
      <c r="Z440" s="309"/>
      <c r="AA440" s="309"/>
      <c r="AB440" s="309"/>
      <c r="AC440" s="309"/>
    </row>
    <row r="441" spans="1:29" ht="12.75" customHeight="1">
      <c r="A441" s="309"/>
      <c r="B441" s="309"/>
      <c r="C441" s="309"/>
      <c r="D441" s="309"/>
      <c r="E441" s="309"/>
      <c r="F441" s="309"/>
      <c r="G441" s="309"/>
      <c r="H441" s="309"/>
      <c r="I441" s="309"/>
      <c r="J441" s="309"/>
      <c r="K441" s="310"/>
      <c r="L441" s="309"/>
      <c r="M441" s="309"/>
      <c r="N441" s="309"/>
      <c r="O441" s="309"/>
      <c r="P441" s="309"/>
      <c r="Q441" s="309"/>
      <c r="R441" s="309"/>
      <c r="S441" s="309"/>
      <c r="T441" s="309"/>
      <c r="U441" s="309"/>
      <c r="V441" s="309"/>
      <c r="W441" s="309"/>
      <c r="X441" s="309"/>
      <c r="Y441" s="309"/>
      <c r="Z441" s="309"/>
      <c r="AA441" s="309"/>
      <c r="AB441" s="309"/>
      <c r="AC441" s="309"/>
    </row>
    <row r="442" spans="1:29" ht="12.75" customHeight="1">
      <c r="A442" s="309"/>
      <c r="B442" s="309"/>
      <c r="C442" s="309"/>
      <c r="D442" s="309"/>
      <c r="E442" s="309"/>
      <c r="F442" s="309"/>
      <c r="G442" s="309"/>
      <c r="H442" s="309"/>
      <c r="I442" s="309"/>
      <c r="J442" s="309"/>
      <c r="K442" s="310"/>
      <c r="L442" s="309"/>
      <c r="M442" s="309"/>
      <c r="N442" s="309"/>
      <c r="O442" s="309"/>
      <c r="P442" s="309"/>
      <c r="Q442" s="309"/>
      <c r="R442" s="309"/>
      <c r="S442" s="309"/>
      <c r="T442" s="309"/>
      <c r="U442" s="309"/>
      <c r="V442" s="309"/>
      <c r="W442" s="309"/>
      <c r="X442" s="309"/>
      <c r="Y442" s="309"/>
      <c r="Z442" s="309"/>
      <c r="AA442" s="309"/>
      <c r="AB442" s="309"/>
      <c r="AC442" s="309"/>
    </row>
    <row r="443" spans="1:29" ht="12.75" customHeight="1">
      <c r="A443" s="309"/>
      <c r="B443" s="309"/>
      <c r="C443" s="309"/>
      <c r="D443" s="309"/>
      <c r="E443" s="309"/>
      <c r="F443" s="309"/>
      <c r="G443" s="309"/>
      <c r="H443" s="309"/>
      <c r="I443" s="309"/>
      <c r="J443" s="309"/>
      <c r="K443" s="310"/>
      <c r="L443" s="309"/>
      <c r="M443" s="309"/>
      <c r="N443" s="309"/>
      <c r="O443" s="309"/>
      <c r="P443" s="309"/>
      <c r="Q443" s="309"/>
      <c r="R443" s="309"/>
      <c r="S443" s="309"/>
      <c r="T443" s="309"/>
      <c r="U443" s="309"/>
      <c r="V443" s="309"/>
      <c r="W443" s="309"/>
      <c r="X443" s="309"/>
      <c r="Y443" s="309"/>
      <c r="Z443" s="309"/>
      <c r="AA443" s="309"/>
      <c r="AB443" s="309"/>
      <c r="AC443" s="309"/>
    </row>
    <row r="444" spans="1:29" ht="12.75" customHeight="1">
      <c r="A444" s="309"/>
      <c r="B444" s="309"/>
      <c r="C444" s="309"/>
      <c r="D444" s="309"/>
      <c r="E444" s="309"/>
      <c r="F444" s="309"/>
      <c r="G444" s="309"/>
      <c r="H444" s="309"/>
      <c r="I444" s="309"/>
      <c r="J444" s="309"/>
      <c r="K444" s="310"/>
      <c r="L444" s="309"/>
      <c r="M444" s="309"/>
      <c r="N444" s="309"/>
      <c r="O444" s="309"/>
      <c r="P444" s="309"/>
      <c r="Q444" s="309"/>
      <c r="R444" s="309"/>
      <c r="S444" s="309"/>
      <c r="T444" s="309"/>
      <c r="U444" s="309"/>
      <c r="V444" s="309"/>
      <c r="W444" s="309"/>
      <c r="X444" s="309"/>
      <c r="Y444" s="309"/>
      <c r="Z444" s="309"/>
      <c r="AA444" s="309"/>
      <c r="AB444" s="309"/>
      <c r="AC444" s="309"/>
    </row>
    <row r="445" spans="1:29" ht="12.75" customHeight="1">
      <c r="A445" s="309"/>
      <c r="B445" s="309"/>
      <c r="C445" s="309"/>
      <c r="D445" s="309"/>
      <c r="E445" s="309"/>
      <c r="F445" s="309"/>
      <c r="G445" s="309"/>
      <c r="H445" s="309"/>
      <c r="I445" s="309"/>
      <c r="J445" s="309"/>
      <c r="K445" s="310"/>
      <c r="L445" s="309"/>
      <c r="M445" s="309"/>
      <c r="N445" s="309"/>
      <c r="O445" s="309"/>
      <c r="P445" s="309"/>
      <c r="Q445" s="309"/>
      <c r="R445" s="309"/>
      <c r="S445" s="309"/>
      <c r="T445" s="309"/>
      <c r="U445" s="309"/>
      <c r="V445" s="309"/>
      <c r="W445" s="309"/>
      <c r="X445" s="309"/>
      <c r="Y445" s="309"/>
      <c r="Z445" s="309"/>
      <c r="AA445" s="309"/>
      <c r="AB445" s="309"/>
      <c r="AC445" s="309"/>
    </row>
    <row r="446" spans="1:29" ht="12.75" customHeight="1">
      <c r="A446" s="309"/>
      <c r="B446" s="309"/>
      <c r="C446" s="309"/>
      <c r="D446" s="309"/>
      <c r="E446" s="309"/>
      <c r="F446" s="309"/>
      <c r="G446" s="309"/>
      <c r="H446" s="309"/>
      <c r="I446" s="309"/>
      <c r="J446" s="309"/>
      <c r="K446" s="310"/>
      <c r="L446" s="309"/>
      <c r="M446" s="309"/>
      <c r="N446" s="309"/>
      <c r="O446" s="309"/>
      <c r="P446" s="309"/>
      <c r="Q446" s="309"/>
      <c r="R446" s="309"/>
      <c r="S446" s="309"/>
      <c r="T446" s="309"/>
      <c r="U446" s="309"/>
      <c r="V446" s="309"/>
      <c r="W446" s="309"/>
      <c r="X446" s="309"/>
      <c r="Y446" s="309"/>
      <c r="Z446" s="309"/>
      <c r="AA446" s="309"/>
      <c r="AB446" s="309"/>
      <c r="AC446" s="309"/>
    </row>
    <row r="447" spans="1:29" ht="12.75" customHeight="1">
      <c r="A447" s="309"/>
      <c r="B447" s="309"/>
      <c r="C447" s="309"/>
      <c r="D447" s="309"/>
      <c r="E447" s="309"/>
      <c r="F447" s="309"/>
      <c r="G447" s="309"/>
      <c r="H447" s="309"/>
      <c r="I447" s="309"/>
      <c r="J447" s="309"/>
      <c r="K447" s="310"/>
      <c r="L447" s="309"/>
      <c r="M447" s="309"/>
      <c r="N447" s="309"/>
      <c r="O447" s="309"/>
      <c r="P447" s="309"/>
      <c r="Q447" s="309"/>
      <c r="R447" s="309"/>
      <c r="S447" s="309"/>
      <c r="T447" s="309"/>
      <c r="U447" s="309"/>
      <c r="V447" s="309"/>
      <c r="W447" s="309"/>
      <c r="X447" s="309"/>
      <c r="Y447" s="309"/>
      <c r="Z447" s="309"/>
      <c r="AA447" s="309"/>
      <c r="AB447" s="309"/>
      <c r="AC447" s="309"/>
    </row>
    <row r="448" spans="1:29" ht="12.75" customHeight="1">
      <c r="A448" s="309"/>
      <c r="B448" s="309"/>
      <c r="C448" s="309"/>
      <c r="D448" s="309"/>
      <c r="E448" s="309"/>
      <c r="F448" s="309"/>
      <c r="G448" s="309"/>
      <c r="H448" s="309"/>
      <c r="I448" s="309"/>
      <c r="J448" s="309"/>
      <c r="K448" s="310"/>
      <c r="L448" s="309"/>
      <c r="M448" s="309"/>
      <c r="N448" s="309"/>
      <c r="O448" s="309"/>
      <c r="P448" s="309"/>
      <c r="Q448" s="309"/>
      <c r="R448" s="309"/>
      <c r="S448" s="309"/>
      <c r="T448" s="309"/>
      <c r="U448" s="309"/>
      <c r="V448" s="309"/>
      <c r="W448" s="309"/>
      <c r="X448" s="309"/>
      <c r="Y448" s="309"/>
      <c r="Z448" s="309"/>
      <c r="AA448" s="309"/>
      <c r="AB448" s="309"/>
      <c r="AC448" s="309"/>
    </row>
    <row r="449" spans="1:29" ht="12.75" customHeight="1">
      <c r="A449" s="309"/>
      <c r="B449" s="309"/>
      <c r="C449" s="309"/>
      <c r="D449" s="309"/>
      <c r="E449" s="309"/>
      <c r="F449" s="309"/>
      <c r="G449" s="309"/>
      <c r="H449" s="309"/>
      <c r="I449" s="309"/>
      <c r="J449" s="309"/>
      <c r="K449" s="310"/>
      <c r="L449" s="309"/>
      <c r="M449" s="309"/>
      <c r="N449" s="309"/>
      <c r="O449" s="309"/>
      <c r="P449" s="309"/>
      <c r="Q449" s="309"/>
      <c r="R449" s="309"/>
      <c r="S449" s="309"/>
      <c r="T449" s="309"/>
      <c r="U449" s="309"/>
      <c r="V449" s="309"/>
      <c r="W449" s="309"/>
      <c r="X449" s="309"/>
      <c r="Y449" s="309"/>
      <c r="Z449" s="309"/>
      <c r="AA449" s="309"/>
      <c r="AB449" s="309"/>
      <c r="AC449" s="309"/>
    </row>
    <row r="450" spans="1:29" ht="12.75" customHeight="1">
      <c r="A450" s="309"/>
      <c r="B450" s="309"/>
      <c r="C450" s="309"/>
      <c r="D450" s="309"/>
      <c r="E450" s="309"/>
      <c r="F450" s="309"/>
      <c r="G450" s="309"/>
      <c r="H450" s="309"/>
      <c r="I450" s="309"/>
      <c r="J450" s="309"/>
      <c r="K450" s="310"/>
      <c r="L450" s="309"/>
      <c r="M450" s="309"/>
      <c r="N450" s="309"/>
      <c r="O450" s="309"/>
      <c r="P450" s="309"/>
      <c r="Q450" s="309"/>
      <c r="R450" s="309"/>
      <c r="S450" s="309"/>
      <c r="T450" s="309"/>
      <c r="U450" s="309"/>
      <c r="V450" s="309"/>
      <c r="W450" s="309"/>
      <c r="X450" s="309"/>
      <c r="Y450" s="309"/>
      <c r="Z450" s="309"/>
      <c r="AA450" s="309"/>
      <c r="AB450" s="309"/>
      <c r="AC450" s="309"/>
    </row>
    <row r="451" spans="1:29" ht="12.75" customHeight="1">
      <c r="A451" s="309"/>
      <c r="B451" s="309"/>
      <c r="C451" s="309"/>
      <c r="D451" s="309"/>
      <c r="E451" s="309"/>
      <c r="F451" s="309"/>
      <c r="G451" s="309"/>
      <c r="H451" s="309"/>
      <c r="I451" s="309"/>
      <c r="J451" s="309"/>
      <c r="K451" s="310"/>
      <c r="L451" s="309"/>
      <c r="M451" s="309"/>
      <c r="N451" s="309"/>
      <c r="O451" s="309"/>
      <c r="P451" s="309"/>
      <c r="Q451" s="309"/>
      <c r="R451" s="309"/>
      <c r="S451" s="309"/>
      <c r="T451" s="309"/>
      <c r="U451" s="309"/>
      <c r="V451" s="309"/>
      <c r="W451" s="309"/>
      <c r="X451" s="309"/>
      <c r="Y451" s="309"/>
      <c r="Z451" s="309"/>
      <c r="AA451" s="309"/>
      <c r="AB451" s="309"/>
      <c r="AC451" s="309"/>
    </row>
    <row r="452" spans="1:29" ht="12.75" customHeight="1">
      <c r="A452" s="309"/>
      <c r="B452" s="309"/>
      <c r="C452" s="309"/>
      <c r="D452" s="309"/>
      <c r="E452" s="309"/>
      <c r="F452" s="309"/>
      <c r="G452" s="309"/>
      <c r="H452" s="309"/>
      <c r="I452" s="309"/>
      <c r="J452" s="309"/>
      <c r="K452" s="310"/>
      <c r="L452" s="309"/>
      <c r="M452" s="309"/>
      <c r="N452" s="309"/>
      <c r="O452" s="309"/>
      <c r="P452" s="309"/>
      <c r="Q452" s="309"/>
      <c r="R452" s="309"/>
      <c r="S452" s="309"/>
      <c r="T452" s="309"/>
      <c r="U452" s="309"/>
      <c r="V452" s="309"/>
      <c r="W452" s="309"/>
      <c r="X452" s="309"/>
      <c r="Y452" s="309"/>
      <c r="Z452" s="309"/>
      <c r="AA452" s="309"/>
      <c r="AB452" s="309"/>
      <c r="AC452" s="309"/>
    </row>
    <row r="453" spans="1:29" ht="12.75" customHeight="1">
      <c r="A453" s="309"/>
      <c r="B453" s="309"/>
      <c r="C453" s="309"/>
      <c r="D453" s="309"/>
      <c r="E453" s="309"/>
      <c r="F453" s="309"/>
      <c r="G453" s="309"/>
      <c r="H453" s="309"/>
      <c r="I453" s="309"/>
      <c r="J453" s="309"/>
      <c r="K453" s="310"/>
      <c r="L453" s="309"/>
      <c r="M453" s="309"/>
      <c r="N453" s="309"/>
      <c r="O453" s="309"/>
      <c r="P453" s="309"/>
      <c r="Q453" s="309"/>
      <c r="R453" s="309"/>
      <c r="S453" s="309"/>
      <c r="T453" s="309"/>
      <c r="U453" s="309"/>
      <c r="V453" s="309"/>
      <c r="W453" s="309"/>
      <c r="X453" s="309"/>
      <c r="Y453" s="309"/>
      <c r="Z453" s="309"/>
      <c r="AA453" s="309"/>
      <c r="AB453" s="309"/>
      <c r="AC453" s="309"/>
    </row>
    <row r="454" spans="1:29" ht="12.75" customHeight="1">
      <c r="A454" s="309"/>
      <c r="B454" s="309"/>
      <c r="C454" s="309"/>
      <c r="D454" s="309"/>
      <c r="E454" s="309"/>
      <c r="F454" s="309"/>
      <c r="G454" s="309"/>
      <c r="H454" s="309"/>
      <c r="I454" s="309"/>
      <c r="J454" s="309"/>
      <c r="K454" s="310"/>
      <c r="L454" s="309"/>
      <c r="M454" s="309"/>
      <c r="N454" s="309"/>
      <c r="O454" s="309"/>
      <c r="P454" s="309"/>
      <c r="Q454" s="309"/>
      <c r="R454" s="309"/>
      <c r="S454" s="309"/>
      <c r="T454" s="309"/>
      <c r="U454" s="309"/>
      <c r="V454" s="309"/>
      <c r="W454" s="309"/>
      <c r="X454" s="309"/>
      <c r="Y454" s="309"/>
      <c r="Z454" s="309"/>
      <c r="AA454" s="309"/>
      <c r="AB454" s="309"/>
      <c r="AC454" s="309"/>
    </row>
    <row r="455" spans="1:29" ht="12.75" customHeight="1">
      <c r="A455" s="309"/>
      <c r="B455" s="309"/>
      <c r="C455" s="309"/>
      <c r="D455" s="309"/>
      <c r="E455" s="309"/>
      <c r="F455" s="309"/>
      <c r="G455" s="309"/>
      <c r="H455" s="309"/>
      <c r="I455" s="309"/>
      <c r="J455" s="309"/>
      <c r="K455" s="310"/>
      <c r="L455" s="309"/>
      <c r="M455" s="309"/>
      <c r="N455" s="309"/>
      <c r="O455" s="309"/>
      <c r="P455" s="309"/>
      <c r="Q455" s="309"/>
      <c r="R455" s="309"/>
      <c r="S455" s="309"/>
      <c r="T455" s="309"/>
      <c r="U455" s="309"/>
      <c r="V455" s="309"/>
      <c r="W455" s="309"/>
      <c r="X455" s="309"/>
      <c r="Y455" s="309"/>
      <c r="Z455" s="309"/>
      <c r="AA455" s="309"/>
      <c r="AB455" s="309"/>
      <c r="AC455" s="309"/>
    </row>
    <row r="456" spans="1:29" ht="12.75" customHeight="1">
      <c r="A456" s="309"/>
      <c r="B456" s="309"/>
      <c r="C456" s="309"/>
      <c r="D456" s="309"/>
      <c r="E456" s="309"/>
      <c r="F456" s="309"/>
      <c r="G456" s="309"/>
      <c r="H456" s="309"/>
      <c r="I456" s="309"/>
      <c r="J456" s="309"/>
      <c r="K456" s="310"/>
      <c r="L456" s="309"/>
      <c r="M456" s="309"/>
      <c r="N456" s="309"/>
      <c r="O456" s="309"/>
      <c r="P456" s="309"/>
      <c r="Q456" s="309"/>
      <c r="R456" s="309"/>
      <c r="S456" s="309"/>
      <c r="T456" s="309"/>
      <c r="U456" s="309"/>
      <c r="V456" s="309"/>
      <c r="W456" s="309"/>
      <c r="X456" s="309"/>
      <c r="Y456" s="309"/>
      <c r="Z456" s="309"/>
      <c r="AA456" s="309"/>
      <c r="AB456" s="309"/>
      <c r="AC456" s="309"/>
    </row>
    <row r="457" spans="1:29" ht="12.75" customHeight="1">
      <c r="A457" s="309"/>
      <c r="B457" s="309"/>
      <c r="C457" s="309"/>
      <c r="D457" s="309"/>
      <c r="E457" s="309"/>
      <c r="F457" s="309"/>
      <c r="G457" s="309"/>
      <c r="H457" s="309"/>
      <c r="I457" s="309"/>
      <c r="J457" s="309"/>
      <c r="K457" s="310"/>
      <c r="L457" s="309"/>
      <c r="M457" s="309"/>
      <c r="N457" s="309"/>
      <c r="O457" s="309"/>
      <c r="P457" s="309"/>
      <c r="Q457" s="309"/>
      <c r="R457" s="309"/>
      <c r="S457" s="309"/>
      <c r="T457" s="309"/>
      <c r="U457" s="309"/>
      <c r="V457" s="309"/>
      <c r="W457" s="309"/>
      <c r="X457" s="309"/>
      <c r="Y457" s="309"/>
      <c r="Z457" s="309"/>
      <c r="AA457" s="309"/>
      <c r="AB457" s="309"/>
      <c r="AC457" s="309"/>
    </row>
    <row r="458" spans="1:29" ht="12.75" customHeight="1">
      <c r="A458" s="309"/>
      <c r="B458" s="309"/>
      <c r="C458" s="309"/>
      <c r="D458" s="309"/>
      <c r="E458" s="309"/>
      <c r="F458" s="309"/>
      <c r="G458" s="309"/>
      <c r="H458" s="309"/>
      <c r="I458" s="309"/>
      <c r="J458" s="309"/>
      <c r="K458" s="310"/>
      <c r="L458" s="309"/>
      <c r="M458" s="309"/>
      <c r="N458" s="309"/>
      <c r="O458" s="309"/>
      <c r="P458" s="309"/>
      <c r="Q458" s="309"/>
      <c r="R458" s="309"/>
      <c r="S458" s="309"/>
      <c r="T458" s="309"/>
      <c r="U458" s="309"/>
      <c r="V458" s="309"/>
      <c r="W458" s="309"/>
      <c r="X458" s="309"/>
      <c r="Y458" s="309"/>
      <c r="Z458" s="309"/>
      <c r="AA458" s="309"/>
      <c r="AB458" s="309"/>
      <c r="AC458" s="309"/>
    </row>
    <row r="459" spans="1:29" ht="12.75" customHeight="1">
      <c r="A459" s="309"/>
      <c r="B459" s="309"/>
      <c r="C459" s="309"/>
      <c r="D459" s="309"/>
      <c r="E459" s="309"/>
      <c r="F459" s="309"/>
      <c r="G459" s="309"/>
      <c r="H459" s="309"/>
      <c r="I459" s="309"/>
      <c r="J459" s="309"/>
      <c r="K459" s="310"/>
      <c r="L459" s="309"/>
      <c r="M459" s="309"/>
      <c r="N459" s="309"/>
      <c r="O459" s="309"/>
      <c r="P459" s="309"/>
      <c r="Q459" s="309"/>
      <c r="R459" s="309"/>
      <c r="S459" s="309"/>
      <c r="T459" s="309"/>
      <c r="U459" s="309"/>
      <c r="V459" s="309"/>
      <c r="W459" s="309"/>
      <c r="X459" s="309"/>
      <c r="Y459" s="309"/>
      <c r="Z459" s="309"/>
      <c r="AA459" s="309"/>
      <c r="AB459" s="309"/>
      <c r="AC459" s="309"/>
    </row>
    <row r="460" spans="1:29" ht="12.75" customHeight="1">
      <c r="A460" s="309"/>
      <c r="B460" s="309"/>
      <c r="C460" s="309"/>
      <c r="D460" s="309"/>
      <c r="E460" s="309"/>
      <c r="F460" s="309"/>
      <c r="G460" s="309"/>
      <c r="H460" s="309"/>
      <c r="I460" s="309"/>
      <c r="J460" s="309"/>
      <c r="K460" s="310"/>
      <c r="L460" s="309"/>
      <c r="M460" s="309"/>
      <c r="N460" s="309"/>
      <c r="O460" s="309"/>
      <c r="P460" s="309"/>
      <c r="Q460" s="309"/>
      <c r="R460" s="309"/>
      <c r="S460" s="309"/>
      <c r="T460" s="309"/>
      <c r="U460" s="309"/>
      <c r="V460" s="309"/>
      <c r="W460" s="309"/>
      <c r="X460" s="309"/>
      <c r="Y460" s="309"/>
      <c r="Z460" s="309"/>
      <c r="AA460" s="309"/>
      <c r="AB460" s="309"/>
      <c r="AC460" s="309"/>
    </row>
    <row r="461" spans="1:29" ht="12.75" customHeight="1">
      <c r="A461" s="309"/>
      <c r="B461" s="309"/>
      <c r="C461" s="309"/>
      <c r="D461" s="309"/>
      <c r="E461" s="309"/>
      <c r="F461" s="309"/>
      <c r="G461" s="309"/>
      <c r="H461" s="309"/>
      <c r="I461" s="309"/>
      <c r="J461" s="309"/>
      <c r="K461" s="310"/>
      <c r="L461" s="309"/>
      <c r="M461" s="309"/>
      <c r="N461" s="309"/>
      <c r="O461" s="309"/>
      <c r="P461" s="309"/>
      <c r="Q461" s="309"/>
      <c r="R461" s="309"/>
      <c r="S461" s="309"/>
      <c r="T461" s="309"/>
      <c r="U461" s="309"/>
      <c r="V461" s="309"/>
      <c r="W461" s="309"/>
      <c r="X461" s="309"/>
      <c r="Y461" s="309"/>
      <c r="Z461" s="309"/>
      <c r="AA461" s="309"/>
      <c r="AB461" s="309"/>
      <c r="AC461" s="309"/>
    </row>
    <row r="462" spans="1:29" ht="12.75" customHeight="1">
      <c r="A462" s="309"/>
      <c r="B462" s="309"/>
      <c r="C462" s="309"/>
      <c r="D462" s="309"/>
      <c r="E462" s="309"/>
      <c r="F462" s="309"/>
      <c r="G462" s="309"/>
      <c r="H462" s="309"/>
      <c r="I462" s="309"/>
      <c r="J462" s="309"/>
      <c r="K462" s="310"/>
      <c r="L462" s="309"/>
      <c r="M462" s="309"/>
      <c r="N462" s="309"/>
      <c r="O462" s="309"/>
      <c r="P462" s="309"/>
      <c r="Q462" s="309"/>
      <c r="R462" s="309"/>
      <c r="S462" s="309"/>
      <c r="T462" s="309"/>
      <c r="U462" s="309"/>
      <c r="V462" s="309"/>
      <c r="W462" s="309"/>
      <c r="X462" s="309"/>
      <c r="Y462" s="309"/>
      <c r="Z462" s="309"/>
      <c r="AA462" s="309"/>
      <c r="AB462" s="309"/>
      <c r="AC462" s="309"/>
    </row>
    <row r="463" spans="1:29" ht="12.75" customHeight="1">
      <c r="A463" s="309"/>
      <c r="B463" s="309"/>
      <c r="C463" s="309"/>
      <c r="D463" s="309"/>
      <c r="E463" s="309"/>
      <c r="F463" s="309"/>
      <c r="G463" s="309"/>
      <c r="H463" s="309"/>
      <c r="I463" s="309"/>
      <c r="J463" s="309"/>
      <c r="K463" s="310"/>
      <c r="L463" s="309"/>
      <c r="M463" s="309"/>
      <c r="N463" s="309"/>
      <c r="O463" s="309"/>
      <c r="P463" s="309"/>
      <c r="Q463" s="309"/>
      <c r="R463" s="309"/>
      <c r="S463" s="309"/>
      <c r="T463" s="309"/>
      <c r="U463" s="309"/>
      <c r="V463" s="309"/>
      <c r="W463" s="309"/>
      <c r="X463" s="309"/>
      <c r="Y463" s="309"/>
      <c r="Z463" s="309"/>
      <c r="AA463" s="309"/>
      <c r="AB463" s="309"/>
      <c r="AC463" s="309"/>
    </row>
    <row r="464" spans="1:29" ht="12.75" customHeight="1">
      <c r="A464" s="309"/>
      <c r="B464" s="309"/>
      <c r="C464" s="309"/>
      <c r="D464" s="309"/>
      <c r="E464" s="309"/>
      <c r="F464" s="309"/>
      <c r="G464" s="309"/>
      <c r="H464" s="309"/>
      <c r="I464" s="309"/>
      <c r="J464" s="309"/>
      <c r="K464" s="310"/>
      <c r="L464" s="309"/>
      <c r="M464" s="309"/>
      <c r="N464" s="309"/>
      <c r="O464" s="309"/>
      <c r="P464" s="309"/>
      <c r="Q464" s="309"/>
      <c r="R464" s="309"/>
      <c r="S464" s="309"/>
      <c r="T464" s="309"/>
      <c r="U464" s="309"/>
      <c r="V464" s="309"/>
      <c r="W464" s="309"/>
      <c r="X464" s="309"/>
      <c r="Y464" s="309"/>
      <c r="Z464" s="309"/>
      <c r="AA464" s="309"/>
      <c r="AB464" s="309"/>
      <c r="AC464" s="309"/>
    </row>
    <row r="465" spans="1:29" ht="12.75" customHeight="1">
      <c r="A465" s="309"/>
      <c r="B465" s="309"/>
      <c r="C465" s="309"/>
      <c r="D465" s="309"/>
      <c r="E465" s="309"/>
      <c r="F465" s="309"/>
      <c r="G465" s="309"/>
      <c r="H465" s="309"/>
      <c r="I465" s="309"/>
      <c r="J465" s="309"/>
      <c r="K465" s="310"/>
      <c r="L465" s="309"/>
      <c r="M465" s="309"/>
      <c r="N465" s="309"/>
      <c r="O465" s="309"/>
      <c r="P465" s="309"/>
      <c r="Q465" s="309"/>
      <c r="R465" s="309"/>
      <c r="S465" s="309"/>
      <c r="T465" s="309"/>
      <c r="U465" s="309"/>
      <c r="V465" s="309"/>
      <c r="W465" s="309"/>
      <c r="X465" s="309"/>
      <c r="Y465" s="309"/>
      <c r="Z465" s="309"/>
      <c r="AA465" s="309"/>
      <c r="AB465" s="309"/>
      <c r="AC465" s="309"/>
    </row>
    <row r="466" spans="1:29" ht="12.75" customHeight="1">
      <c r="A466" s="309"/>
      <c r="B466" s="309"/>
      <c r="C466" s="309"/>
      <c r="D466" s="309"/>
      <c r="E466" s="309"/>
      <c r="F466" s="309"/>
      <c r="G466" s="309"/>
      <c r="H466" s="309"/>
      <c r="I466" s="309"/>
      <c r="J466" s="309"/>
      <c r="K466" s="310"/>
      <c r="L466" s="309"/>
      <c r="M466" s="309"/>
      <c r="N466" s="309"/>
      <c r="O466" s="309"/>
      <c r="P466" s="309"/>
      <c r="Q466" s="309"/>
      <c r="R466" s="309"/>
      <c r="S466" s="309"/>
      <c r="T466" s="309"/>
      <c r="U466" s="309"/>
      <c r="V466" s="309"/>
      <c r="W466" s="309"/>
      <c r="X466" s="309"/>
      <c r="Y466" s="309"/>
      <c r="Z466" s="309"/>
      <c r="AA466" s="309"/>
      <c r="AB466" s="309"/>
      <c r="AC466" s="309"/>
    </row>
    <row r="467" spans="1:29" ht="12.75" customHeight="1">
      <c r="A467" s="309"/>
      <c r="B467" s="309"/>
      <c r="C467" s="309"/>
      <c r="D467" s="309"/>
      <c r="E467" s="309"/>
      <c r="F467" s="309"/>
      <c r="G467" s="309"/>
      <c r="H467" s="309"/>
      <c r="I467" s="309"/>
      <c r="J467" s="309"/>
      <c r="K467" s="310"/>
      <c r="L467" s="309"/>
      <c r="M467" s="309"/>
      <c r="N467" s="309"/>
      <c r="O467" s="309"/>
      <c r="P467" s="309"/>
      <c r="Q467" s="309"/>
      <c r="R467" s="309"/>
      <c r="S467" s="309"/>
      <c r="T467" s="309"/>
      <c r="U467" s="309"/>
      <c r="V467" s="309"/>
      <c r="W467" s="309"/>
      <c r="X467" s="309"/>
      <c r="Y467" s="309"/>
      <c r="Z467" s="309"/>
      <c r="AA467" s="309"/>
      <c r="AB467" s="309"/>
      <c r="AC467" s="309"/>
    </row>
    <row r="468" spans="1:29" ht="12.75" customHeight="1">
      <c r="A468" s="309"/>
      <c r="B468" s="309"/>
      <c r="C468" s="309"/>
      <c r="D468" s="309"/>
      <c r="E468" s="309"/>
      <c r="F468" s="309"/>
      <c r="G468" s="309"/>
      <c r="H468" s="309"/>
      <c r="I468" s="309"/>
      <c r="J468" s="309"/>
      <c r="K468" s="310"/>
      <c r="L468" s="309"/>
      <c r="M468" s="309"/>
      <c r="N468" s="309"/>
      <c r="O468" s="309"/>
      <c r="P468" s="309"/>
      <c r="Q468" s="309"/>
      <c r="R468" s="309"/>
      <c r="S468" s="309"/>
      <c r="T468" s="309"/>
      <c r="U468" s="309"/>
      <c r="V468" s="309"/>
      <c r="W468" s="309"/>
      <c r="X468" s="309"/>
      <c r="Y468" s="309"/>
      <c r="Z468" s="309"/>
      <c r="AA468" s="309"/>
      <c r="AB468" s="309"/>
      <c r="AC468" s="309"/>
    </row>
    <row r="469" spans="1:29" ht="12.75" customHeight="1">
      <c r="A469" s="309"/>
      <c r="B469" s="309"/>
      <c r="C469" s="309"/>
      <c r="D469" s="309"/>
      <c r="E469" s="309"/>
      <c r="F469" s="309"/>
      <c r="G469" s="309"/>
      <c r="H469" s="309"/>
      <c r="I469" s="309"/>
      <c r="J469" s="309"/>
      <c r="K469" s="310"/>
      <c r="L469" s="309"/>
      <c r="M469" s="309"/>
      <c r="N469" s="309"/>
      <c r="O469" s="309"/>
      <c r="P469" s="309"/>
      <c r="Q469" s="309"/>
      <c r="R469" s="309"/>
      <c r="S469" s="309"/>
      <c r="T469" s="309"/>
      <c r="U469" s="309"/>
      <c r="V469" s="309"/>
      <c r="W469" s="309"/>
      <c r="X469" s="309"/>
      <c r="Y469" s="309"/>
      <c r="Z469" s="309"/>
      <c r="AA469" s="309"/>
      <c r="AB469" s="309"/>
      <c r="AC469" s="309"/>
    </row>
    <row r="470" spans="1:29" ht="12.75" customHeight="1">
      <c r="A470" s="309"/>
      <c r="B470" s="309"/>
      <c r="C470" s="309"/>
      <c r="D470" s="309"/>
      <c r="E470" s="309"/>
      <c r="F470" s="309"/>
      <c r="G470" s="309"/>
      <c r="H470" s="309"/>
      <c r="I470" s="309"/>
      <c r="J470" s="309"/>
      <c r="K470" s="310"/>
      <c r="L470" s="309"/>
      <c r="M470" s="309"/>
      <c r="N470" s="309"/>
      <c r="O470" s="309"/>
      <c r="P470" s="309"/>
      <c r="Q470" s="309"/>
      <c r="R470" s="309"/>
      <c r="S470" s="309"/>
      <c r="T470" s="309"/>
      <c r="U470" s="309"/>
      <c r="V470" s="309"/>
      <c r="W470" s="309"/>
      <c r="X470" s="309"/>
      <c r="Y470" s="309"/>
      <c r="Z470" s="309"/>
      <c r="AA470" s="309"/>
      <c r="AB470" s="309"/>
      <c r="AC470" s="309"/>
    </row>
    <row r="471" spans="1:29" ht="12.75" customHeight="1">
      <c r="A471" s="309"/>
      <c r="B471" s="309"/>
      <c r="C471" s="309"/>
      <c r="D471" s="309"/>
      <c r="E471" s="309"/>
      <c r="F471" s="309"/>
      <c r="G471" s="309"/>
      <c r="H471" s="309"/>
      <c r="I471" s="309"/>
      <c r="J471" s="309"/>
      <c r="K471" s="310"/>
      <c r="L471" s="309"/>
      <c r="M471" s="309"/>
      <c r="N471" s="309"/>
      <c r="O471" s="309"/>
      <c r="P471" s="309"/>
      <c r="Q471" s="309"/>
      <c r="R471" s="309"/>
      <c r="S471" s="309"/>
      <c r="T471" s="309"/>
      <c r="U471" s="309"/>
      <c r="V471" s="309"/>
      <c r="W471" s="309"/>
      <c r="X471" s="309"/>
      <c r="Y471" s="309"/>
      <c r="Z471" s="309"/>
      <c r="AA471" s="309"/>
      <c r="AB471" s="309"/>
      <c r="AC471" s="309"/>
    </row>
    <row r="472" spans="1:29" ht="12.75" customHeight="1">
      <c r="A472" s="309"/>
      <c r="B472" s="309"/>
      <c r="C472" s="309"/>
      <c r="D472" s="309"/>
      <c r="E472" s="309"/>
      <c r="F472" s="309"/>
      <c r="G472" s="309"/>
      <c r="H472" s="309"/>
      <c r="I472" s="309"/>
      <c r="J472" s="309"/>
      <c r="K472" s="310"/>
      <c r="L472" s="309"/>
      <c r="M472" s="309"/>
      <c r="N472" s="309"/>
      <c r="O472" s="309"/>
      <c r="P472" s="309"/>
      <c r="Q472" s="309"/>
      <c r="R472" s="309"/>
      <c r="S472" s="309"/>
      <c r="T472" s="309"/>
      <c r="U472" s="309"/>
      <c r="V472" s="309"/>
      <c r="W472" s="309"/>
      <c r="X472" s="309"/>
      <c r="Y472" s="309"/>
      <c r="Z472" s="309"/>
      <c r="AA472" s="309"/>
      <c r="AB472" s="309"/>
      <c r="AC472" s="309"/>
    </row>
    <row r="473" spans="1:29" ht="12.75" customHeight="1">
      <c r="A473" s="309"/>
      <c r="B473" s="309"/>
      <c r="C473" s="309"/>
      <c r="D473" s="309"/>
      <c r="E473" s="309"/>
      <c r="F473" s="309"/>
      <c r="G473" s="309"/>
      <c r="H473" s="309"/>
      <c r="I473" s="309"/>
      <c r="J473" s="309"/>
      <c r="K473" s="310"/>
      <c r="L473" s="309"/>
      <c r="M473" s="309"/>
      <c r="N473" s="309"/>
      <c r="O473" s="309"/>
      <c r="P473" s="309"/>
      <c r="Q473" s="309"/>
      <c r="R473" s="309"/>
      <c r="S473" s="309"/>
      <c r="T473" s="309"/>
      <c r="U473" s="309"/>
      <c r="V473" s="309"/>
      <c r="W473" s="309"/>
      <c r="X473" s="309"/>
      <c r="Y473" s="309"/>
      <c r="Z473" s="309"/>
      <c r="AA473" s="309"/>
      <c r="AB473" s="309"/>
      <c r="AC473" s="309"/>
    </row>
    <row r="474" spans="1:29" ht="12.75" customHeight="1">
      <c r="A474" s="309"/>
      <c r="B474" s="309"/>
      <c r="C474" s="309"/>
      <c r="D474" s="309"/>
      <c r="E474" s="309"/>
      <c r="F474" s="309"/>
      <c r="G474" s="309"/>
      <c r="H474" s="309"/>
      <c r="I474" s="309"/>
      <c r="J474" s="309"/>
      <c r="K474" s="310"/>
      <c r="L474" s="309"/>
      <c r="M474" s="309"/>
      <c r="N474" s="309"/>
      <c r="O474" s="309"/>
      <c r="P474" s="309"/>
      <c r="Q474" s="309"/>
      <c r="R474" s="309"/>
      <c r="S474" s="309"/>
      <c r="T474" s="309"/>
      <c r="U474" s="309"/>
      <c r="V474" s="309"/>
      <c r="W474" s="309"/>
      <c r="X474" s="309"/>
      <c r="Y474" s="309"/>
      <c r="Z474" s="309"/>
      <c r="AA474" s="309"/>
      <c r="AB474" s="309"/>
      <c r="AC474" s="309"/>
    </row>
    <row r="475" spans="1:29" ht="12.75" customHeight="1">
      <c r="A475" s="309"/>
      <c r="B475" s="309"/>
      <c r="C475" s="309"/>
      <c r="D475" s="309"/>
      <c r="E475" s="309"/>
      <c r="F475" s="309"/>
      <c r="G475" s="309"/>
      <c r="H475" s="309"/>
      <c r="I475" s="309"/>
      <c r="J475" s="309"/>
      <c r="K475" s="310"/>
      <c r="L475" s="309"/>
      <c r="M475" s="309"/>
      <c r="N475" s="309"/>
      <c r="O475" s="309"/>
      <c r="P475" s="309"/>
      <c r="Q475" s="309"/>
      <c r="R475" s="309"/>
      <c r="S475" s="309"/>
      <c r="T475" s="309"/>
      <c r="U475" s="309"/>
      <c r="V475" s="309"/>
      <c r="W475" s="309"/>
      <c r="X475" s="309"/>
      <c r="Y475" s="309"/>
      <c r="Z475" s="309"/>
      <c r="AA475" s="309"/>
      <c r="AB475" s="309"/>
      <c r="AC475" s="309"/>
    </row>
    <row r="476" spans="1:29" ht="12.75" customHeight="1">
      <c r="A476" s="309"/>
      <c r="B476" s="309"/>
      <c r="C476" s="309"/>
      <c r="D476" s="309"/>
      <c r="E476" s="309"/>
      <c r="F476" s="309"/>
      <c r="G476" s="309"/>
      <c r="H476" s="309"/>
      <c r="I476" s="309"/>
      <c r="J476" s="309"/>
      <c r="K476" s="310"/>
      <c r="L476" s="309"/>
      <c r="M476" s="309"/>
      <c r="N476" s="309"/>
      <c r="O476" s="309"/>
      <c r="P476" s="309"/>
      <c r="Q476" s="309"/>
      <c r="R476" s="309"/>
      <c r="S476" s="309"/>
      <c r="T476" s="309"/>
      <c r="U476" s="309"/>
      <c r="V476" s="309"/>
      <c r="W476" s="309"/>
      <c r="X476" s="309"/>
      <c r="Y476" s="309"/>
      <c r="Z476" s="309"/>
      <c r="AA476" s="309"/>
      <c r="AB476" s="309"/>
      <c r="AC476" s="309"/>
    </row>
    <row r="477" spans="1:29" ht="12.75" customHeight="1">
      <c r="A477" s="309"/>
      <c r="B477" s="309"/>
      <c r="C477" s="309"/>
      <c r="D477" s="309"/>
      <c r="E477" s="309"/>
      <c r="F477" s="309"/>
      <c r="G477" s="309"/>
      <c r="H477" s="309"/>
      <c r="I477" s="309"/>
      <c r="J477" s="309"/>
      <c r="K477" s="310"/>
      <c r="L477" s="309"/>
      <c r="M477" s="309"/>
      <c r="N477" s="309"/>
      <c r="O477" s="309"/>
      <c r="P477" s="309"/>
      <c r="Q477" s="309"/>
      <c r="R477" s="309"/>
      <c r="S477" s="309"/>
      <c r="T477" s="309"/>
      <c r="U477" s="309"/>
      <c r="V477" s="309"/>
      <c r="W477" s="309"/>
      <c r="X477" s="309"/>
      <c r="Y477" s="309"/>
      <c r="Z477" s="309"/>
      <c r="AA477" s="309"/>
      <c r="AB477" s="309"/>
      <c r="AC477" s="309"/>
    </row>
    <row r="478" spans="1:29" ht="12.75" customHeight="1">
      <c r="A478" s="309"/>
      <c r="B478" s="309"/>
      <c r="C478" s="309"/>
      <c r="D478" s="309"/>
      <c r="E478" s="309"/>
      <c r="F478" s="309"/>
      <c r="G478" s="309"/>
      <c r="H478" s="309"/>
      <c r="I478" s="309"/>
      <c r="J478" s="309"/>
      <c r="K478" s="310"/>
      <c r="L478" s="309"/>
      <c r="M478" s="309"/>
      <c r="N478" s="309"/>
      <c r="O478" s="309"/>
      <c r="P478" s="309"/>
      <c r="Q478" s="309"/>
      <c r="R478" s="309"/>
      <c r="S478" s="309"/>
      <c r="T478" s="309"/>
      <c r="U478" s="309"/>
      <c r="V478" s="309"/>
      <c r="W478" s="309"/>
      <c r="X478" s="309"/>
      <c r="Y478" s="309"/>
      <c r="Z478" s="309"/>
      <c r="AA478" s="309"/>
      <c r="AB478" s="309"/>
      <c r="AC478" s="309"/>
    </row>
    <row r="479" spans="1:29" ht="12.75" customHeight="1">
      <c r="A479" s="309"/>
      <c r="B479" s="309"/>
      <c r="C479" s="309"/>
      <c r="D479" s="309"/>
      <c r="E479" s="309"/>
      <c r="F479" s="309"/>
      <c r="G479" s="309"/>
      <c r="H479" s="309"/>
      <c r="I479" s="309"/>
      <c r="J479" s="309"/>
      <c r="K479" s="310"/>
      <c r="L479" s="309"/>
      <c r="M479" s="309"/>
      <c r="N479" s="309"/>
      <c r="O479" s="309"/>
      <c r="P479" s="309"/>
      <c r="Q479" s="309"/>
      <c r="R479" s="309"/>
      <c r="S479" s="309"/>
      <c r="T479" s="309"/>
      <c r="U479" s="309"/>
      <c r="V479" s="309"/>
      <c r="W479" s="309"/>
      <c r="X479" s="309"/>
      <c r="Y479" s="309"/>
      <c r="Z479" s="309"/>
      <c r="AA479" s="309"/>
      <c r="AB479" s="309"/>
      <c r="AC479" s="309"/>
    </row>
    <row r="480" spans="1:29" ht="12.75" customHeight="1">
      <c r="A480" s="309"/>
      <c r="B480" s="309"/>
      <c r="C480" s="309"/>
      <c r="D480" s="309"/>
      <c r="E480" s="309"/>
      <c r="F480" s="309"/>
      <c r="G480" s="309"/>
      <c r="H480" s="309"/>
      <c r="I480" s="309"/>
      <c r="J480" s="309"/>
      <c r="K480" s="310"/>
      <c r="L480" s="309"/>
      <c r="M480" s="309"/>
      <c r="N480" s="309"/>
      <c r="O480" s="309"/>
      <c r="P480" s="309"/>
      <c r="Q480" s="309"/>
      <c r="R480" s="309"/>
      <c r="S480" s="309"/>
      <c r="T480" s="309"/>
      <c r="U480" s="309"/>
      <c r="V480" s="309"/>
      <c r="W480" s="309"/>
      <c r="X480" s="309"/>
      <c r="Y480" s="309"/>
      <c r="Z480" s="309"/>
      <c r="AA480" s="309"/>
      <c r="AB480" s="309"/>
      <c r="AC480" s="309"/>
    </row>
    <row r="481" spans="1:29" ht="12.75" customHeight="1">
      <c r="A481" s="309"/>
      <c r="B481" s="309"/>
      <c r="C481" s="309"/>
      <c r="D481" s="309"/>
      <c r="E481" s="309"/>
      <c r="F481" s="309"/>
      <c r="G481" s="309"/>
      <c r="H481" s="309"/>
      <c r="I481" s="309"/>
      <c r="J481" s="309"/>
      <c r="K481" s="310"/>
      <c r="L481" s="309"/>
      <c r="M481" s="309"/>
      <c r="N481" s="309"/>
      <c r="O481" s="309"/>
      <c r="P481" s="309"/>
      <c r="Q481" s="309"/>
      <c r="R481" s="309"/>
      <c r="S481" s="309"/>
      <c r="T481" s="309"/>
      <c r="U481" s="309"/>
      <c r="V481" s="309"/>
      <c r="W481" s="309"/>
      <c r="X481" s="309"/>
      <c r="Y481" s="309"/>
      <c r="Z481" s="309"/>
      <c r="AA481" s="309"/>
      <c r="AB481" s="309"/>
      <c r="AC481" s="309"/>
    </row>
    <row r="482" spans="1:29" ht="12.75" customHeight="1">
      <c r="A482" s="309"/>
      <c r="B482" s="309"/>
      <c r="C482" s="309"/>
      <c r="D482" s="309"/>
      <c r="E482" s="309"/>
      <c r="F482" s="309"/>
      <c r="G482" s="309"/>
      <c r="H482" s="309"/>
      <c r="I482" s="309"/>
      <c r="J482" s="309"/>
      <c r="K482" s="310"/>
      <c r="L482" s="309"/>
      <c r="M482" s="309"/>
      <c r="N482" s="309"/>
      <c r="O482" s="309"/>
      <c r="P482" s="309"/>
      <c r="Q482" s="309"/>
      <c r="R482" s="309"/>
      <c r="S482" s="309"/>
      <c r="T482" s="309"/>
      <c r="U482" s="309"/>
      <c r="V482" s="309"/>
      <c r="W482" s="309"/>
      <c r="X482" s="309"/>
      <c r="Y482" s="309"/>
      <c r="Z482" s="309"/>
      <c r="AA482" s="309"/>
      <c r="AB482" s="309"/>
      <c r="AC482" s="309"/>
    </row>
    <row r="483" spans="1:29" ht="12.75" customHeight="1">
      <c r="A483" s="309"/>
      <c r="B483" s="309"/>
      <c r="C483" s="309"/>
      <c r="D483" s="309"/>
      <c r="E483" s="309"/>
      <c r="F483" s="309"/>
      <c r="G483" s="309"/>
      <c r="H483" s="309"/>
      <c r="I483" s="309"/>
      <c r="J483" s="309"/>
      <c r="K483" s="310"/>
      <c r="L483" s="309"/>
      <c r="M483" s="309"/>
      <c r="N483" s="309"/>
      <c r="O483" s="309"/>
      <c r="P483" s="309"/>
      <c r="Q483" s="309"/>
      <c r="R483" s="309"/>
      <c r="S483" s="309"/>
      <c r="T483" s="309"/>
      <c r="U483" s="309"/>
      <c r="V483" s="309"/>
      <c r="W483" s="309"/>
      <c r="X483" s="309"/>
      <c r="Y483" s="309"/>
      <c r="Z483" s="309"/>
      <c r="AA483" s="309"/>
      <c r="AB483" s="309"/>
      <c r="AC483" s="309"/>
    </row>
    <row r="484" spans="1:29" ht="12.75" customHeight="1">
      <c r="A484" s="309"/>
      <c r="B484" s="309"/>
      <c r="C484" s="309"/>
      <c r="D484" s="309"/>
      <c r="E484" s="309"/>
      <c r="F484" s="309"/>
      <c r="G484" s="309"/>
      <c r="H484" s="309"/>
      <c r="I484" s="309"/>
      <c r="J484" s="309"/>
      <c r="K484" s="310"/>
      <c r="L484" s="309"/>
      <c r="M484" s="309"/>
      <c r="N484" s="309"/>
      <c r="O484" s="309"/>
      <c r="P484" s="309"/>
      <c r="Q484" s="309"/>
      <c r="R484" s="309"/>
      <c r="S484" s="309"/>
      <c r="T484" s="309"/>
      <c r="U484" s="309"/>
      <c r="V484" s="309"/>
      <c r="W484" s="309"/>
      <c r="X484" s="309"/>
      <c r="Y484" s="309"/>
      <c r="Z484" s="309"/>
      <c r="AA484" s="309"/>
      <c r="AB484" s="309"/>
      <c r="AC484" s="309"/>
    </row>
    <row r="485" spans="1:29" ht="12.75" customHeight="1">
      <c r="A485" s="309"/>
      <c r="B485" s="309"/>
      <c r="C485" s="309"/>
      <c r="D485" s="309"/>
      <c r="E485" s="309"/>
      <c r="F485" s="309"/>
      <c r="G485" s="309"/>
      <c r="H485" s="309"/>
      <c r="I485" s="309"/>
      <c r="J485" s="309"/>
      <c r="K485" s="310"/>
      <c r="L485" s="309"/>
      <c r="M485" s="309"/>
      <c r="N485" s="309"/>
      <c r="O485" s="309"/>
      <c r="P485" s="309"/>
      <c r="Q485" s="309"/>
      <c r="R485" s="309"/>
      <c r="S485" s="309"/>
      <c r="T485" s="309"/>
      <c r="U485" s="309"/>
      <c r="V485" s="309"/>
      <c r="W485" s="309"/>
      <c r="X485" s="309"/>
      <c r="Y485" s="309"/>
      <c r="Z485" s="309"/>
      <c r="AA485" s="309"/>
      <c r="AB485" s="309"/>
      <c r="AC485" s="309"/>
    </row>
    <row r="486" spans="1:29" ht="12.75" customHeight="1">
      <c r="A486" s="309"/>
      <c r="B486" s="309"/>
      <c r="C486" s="309"/>
      <c r="D486" s="309"/>
      <c r="E486" s="309"/>
      <c r="F486" s="309"/>
      <c r="G486" s="309"/>
      <c r="H486" s="309"/>
      <c r="I486" s="309"/>
      <c r="J486" s="309"/>
      <c r="K486" s="310"/>
      <c r="L486" s="309"/>
      <c r="M486" s="309"/>
      <c r="N486" s="309"/>
      <c r="O486" s="309"/>
      <c r="P486" s="309"/>
      <c r="Q486" s="309"/>
      <c r="R486" s="309"/>
      <c r="S486" s="309"/>
      <c r="T486" s="309"/>
      <c r="U486" s="309"/>
      <c r="V486" s="309"/>
      <c r="W486" s="309"/>
      <c r="X486" s="309"/>
      <c r="Y486" s="309"/>
      <c r="Z486" s="309"/>
      <c r="AA486" s="309"/>
      <c r="AB486" s="309"/>
      <c r="AC486" s="309"/>
    </row>
    <row r="487" spans="1:29" ht="12.75" customHeight="1">
      <c r="A487" s="309"/>
      <c r="B487" s="309"/>
      <c r="C487" s="309"/>
      <c r="D487" s="309"/>
      <c r="E487" s="309"/>
      <c r="F487" s="309"/>
      <c r="G487" s="309"/>
      <c r="H487" s="309"/>
      <c r="I487" s="309"/>
      <c r="J487" s="309"/>
      <c r="K487" s="310"/>
      <c r="L487" s="309"/>
      <c r="M487" s="309"/>
      <c r="N487" s="309"/>
      <c r="O487" s="309"/>
      <c r="P487" s="309"/>
      <c r="Q487" s="309"/>
      <c r="R487" s="309"/>
      <c r="S487" s="309"/>
      <c r="T487" s="309"/>
      <c r="U487" s="309"/>
      <c r="V487" s="309"/>
      <c r="W487" s="309"/>
      <c r="X487" s="309"/>
      <c r="Y487" s="309"/>
      <c r="Z487" s="309"/>
      <c r="AA487" s="309"/>
      <c r="AB487" s="309"/>
      <c r="AC487" s="309"/>
    </row>
    <row r="488" spans="1:29" ht="12.75" customHeight="1">
      <c r="A488" s="309"/>
      <c r="B488" s="309"/>
      <c r="C488" s="309"/>
      <c r="D488" s="309"/>
      <c r="E488" s="309"/>
      <c r="F488" s="309"/>
      <c r="G488" s="309"/>
      <c r="H488" s="309"/>
      <c r="I488" s="309"/>
      <c r="J488" s="309"/>
      <c r="K488" s="310"/>
      <c r="L488" s="309"/>
      <c r="M488" s="309"/>
      <c r="N488" s="309"/>
      <c r="O488" s="309"/>
      <c r="P488" s="309"/>
      <c r="Q488" s="309"/>
      <c r="R488" s="309"/>
      <c r="S488" s="309"/>
      <c r="T488" s="309"/>
      <c r="U488" s="309"/>
      <c r="V488" s="309"/>
      <c r="W488" s="309"/>
      <c r="X488" s="309"/>
      <c r="Y488" s="309"/>
      <c r="Z488" s="309"/>
      <c r="AA488" s="309"/>
      <c r="AB488" s="309"/>
      <c r="AC488" s="309"/>
    </row>
    <row r="489" spans="1:29" ht="12.75" customHeight="1">
      <c r="A489" s="309"/>
      <c r="B489" s="309"/>
      <c r="C489" s="309"/>
      <c r="D489" s="309"/>
      <c r="E489" s="309"/>
      <c r="F489" s="309"/>
      <c r="G489" s="309"/>
      <c r="H489" s="309"/>
      <c r="I489" s="309"/>
      <c r="J489" s="309"/>
      <c r="K489" s="310"/>
      <c r="L489" s="309"/>
      <c r="M489" s="309"/>
      <c r="N489" s="309"/>
      <c r="O489" s="309"/>
      <c r="P489" s="309"/>
      <c r="Q489" s="309"/>
      <c r="R489" s="309"/>
      <c r="S489" s="309"/>
      <c r="T489" s="309"/>
      <c r="U489" s="309"/>
      <c r="V489" s="309"/>
      <c r="W489" s="309"/>
      <c r="X489" s="309"/>
      <c r="Y489" s="309"/>
      <c r="Z489" s="309"/>
      <c r="AA489" s="309"/>
      <c r="AB489" s="309"/>
      <c r="AC489" s="309"/>
    </row>
    <row r="490" spans="1:29" ht="12.75" customHeight="1">
      <c r="A490" s="309"/>
      <c r="B490" s="309"/>
      <c r="C490" s="309"/>
      <c r="D490" s="309"/>
      <c r="E490" s="309"/>
      <c r="F490" s="309"/>
      <c r="G490" s="309"/>
      <c r="H490" s="309"/>
      <c r="I490" s="309"/>
      <c r="J490" s="309"/>
      <c r="K490" s="310"/>
      <c r="L490" s="309"/>
      <c r="M490" s="309"/>
      <c r="N490" s="309"/>
      <c r="O490" s="309"/>
      <c r="P490" s="309"/>
      <c r="Q490" s="309"/>
      <c r="R490" s="309"/>
      <c r="S490" s="309"/>
      <c r="T490" s="309"/>
      <c r="U490" s="309"/>
      <c r="V490" s="309"/>
      <c r="W490" s="309"/>
      <c r="X490" s="309"/>
      <c r="Y490" s="309"/>
      <c r="Z490" s="309"/>
      <c r="AA490" s="309"/>
      <c r="AB490" s="309"/>
      <c r="AC490" s="309"/>
    </row>
    <row r="491" spans="1:29" ht="12.75" customHeight="1">
      <c r="A491" s="309"/>
      <c r="B491" s="309"/>
      <c r="C491" s="309"/>
      <c r="D491" s="309"/>
      <c r="E491" s="309"/>
      <c r="F491" s="309"/>
      <c r="G491" s="309"/>
      <c r="H491" s="309"/>
      <c r="I491" s="309"/>
      <c r="J491" s="309"/>
      <c r="K491" s="310"/>
      <c r="L491" s="309"/>
      <c r="M491" s="309"/>
      <c r="N491" s="309"/>
      <c r="O491" s="309"/>
      <c r="P491" s="309"/>
      <c r="Q491" s="309"/>
      <c r="R491" s="309"/>
      <c r="S491" s="309"/>
      <c r="T491" s="309"/>
      <c r="U491" s="309"/>
      <c r="V491" s="309"/>
      <c r="W491" s="309"/>
      <c r="X491" s="309"/>
      <c r="Y491" s="309"/>
      <c r="Z491" s="309"/>
      <c r="AA491" s="309"/>
      <c r="AB491" s="309"/>
      <c r="AC491" s="309"/>
    </row>
    <row r="492" spans="1:29" ht="12.75" customHeight="1">
      <c r="A492" s="309"/>
      <c r="B492" s="309"/>
      <c r="C492" s="309"/>
      <c r="D492" s="309"/>
      <c r="E492" s="309"/>
      <c r="F492" s="309"/>
      <c r="G492" s="309"/>
      <c r="H492" s="309"/>
      <c r="I492" s="309"/>
      <c r="J492" s="309"/>
      <c r="K492" s="310"/>
      <c r="L492" s="309"/>
      <c r="M492" s="309"/>
      <c r="N492" s="309"/>
      <c r="O492" s="309"/>
      <c r="P492" s="309"/>
      <c r="Q492" s="309"/>
      <c r="R492" s="309"/>
      <c r="S492" s="309"/>
      <c r="T492" s="309"/>
      <c r="U492" s="309"/>
      <c r="V492" s="309"/>
      <c r="W492" s="309"/>
      <c r="X492" s="309"/>
      <c r="Y492" s="309"/>
      <c r="Z492" s="309"/>
      <c r="AA492" s="309"/>
      <c r="AB492" s="309"/>
      <c r="AC492" s="309"/>
    </row>
    <row r="493" spans="1:29" ht="12.75" customHeight="1">
      <c r="A493" s="309"/>
      <c r="B493" s="309"/>
      <c r="C493" s="309"/>
      <c r="D493" s="309"/>
      <c r="E493" s="309"/>
      <c r="F493" s="309"/>
      <c r="G493" s="309"/>
      <c r="H493" s="309"/>
      <c r="I493" s="309"/>
      <c r="J493" s="309"/>
      <c r="K493" s="310"/>
      <c r="L493" s="309"/>
      <c r="M493" s="309"/>
      <c r="N493" s="309"/>
      <c r="O493" s="309"/>
      <c r="P493" s="309"/>
      <c r="Q493" s="309"/>
      <c r="R493" s="309"/>
      <c r="S493" s="309"/>
      <c r="T493" s="309"/>
      <c r="U493" s="309"/>
      <c r="V493" s="309"/>
      <c r="W493" s="309"/>
      <c r="X493" s="309"/>
      <c r="Y493" s="309"/>
      <c r="Z493" s="309"/>
      <c r="AA493" s="309"/>
      <c r="AB493" s="309"/>
      <c r="AC493" s="309"/>
    </row>
    <row r="494" spans="1:29" ht="12.75" customHeight="1">
      <c r="A494" s="309"/>
      <c r="B494" s="309"/>
      <c r="C494" s="309"/>
      <c r="D494" s="309"/>
      <c r="E494" s="309"/>
      <c r="F494" s="309"/>
      <c r="G494" s="309"/>
      <c r="H494" s="309"/>
      <c r="I494" s="309"/>
      <c r="J494" s="309"/>
      <c r="K494" s="310"/>
      <c r="L494" s="309"/>
      <c r="M494" s="309"/>
      <c r="N494" s="309"/>
      <c r="O494" s="309"/>
      <c r="P494" s="309"/>
      <c r="Q494" s="309"/>
      <c r="R494" s="309"/>
      <c r="S494" s="309"/>
      <c r="T494" s="309"/>
      <c r="U494" s="309"/>
      <c r="V494" s="309"/>
      <c r="W494" s="309"/>
      <c r="X494" s="309"/>
      <c r="Y494" s="309"/>
      <c r="Z494" s="309"/>
      <c r="AA494" s="309"/>
      <c r="AB494" s="309"/>
      <c r="AC494" s="309"/>
    </row>
    <row r="495" spans="1:29" ht="12.75" customHeight="1">
      <c r="A495" s="309"/>
      <c r="B495" s="309"/>
      <c r="C495" s="309"/>
      <c r="D495" s="309"/>
      <c r="E495" s="309"/>
      <c r="F495" s="309"/>
      <c r="G495" s="309"/>
      <c r="H495" s="309"/>
      <c r="I495" s="309"/>
      <c r="J495" s="309"/>
      <c r="K495" s="310"/>
      <c r="L495" s="309"/>
      <c r="M495" s="309"/>
      <c r="N495" s="309"/>
      <c r="O495" s="309"/>
      <c r="P495" s="309"/>
      <c r="Q495" s="309"/>
      <c r="R495" s="309"/>
      <c r="S495" s="309"/>
      <c r="T495" s="309"/>
      <c r="U495" s="309"/>
      <c r="V495" s="309"/>
      <c r="W495" s="309"/>
      <c r="X495" s="309"/>
      <c r="Y495" s="309"/>
      <c r="Z495" s="309"/>
      <c r="AA495" s="309"/>
      <c r="AB495" s="309"/>
      <c r="AC495" s="309"/>
    </row>
    <row r="496" spans="1:29" ht="12.75" customHeight="1">
      <c r="A496" s="309"/>
      <c r="B496" s="309"/>
      <c r="C496" s="309"/>
      <c r="D496" s="309"/>
      <c r="E496" s="309"/>
      <c r="F496" s="309"/>
      <c r="G496" s="309"/>
      <c r="H496" s="309"/>
      <c r="I496" s="309"/>
      <c r="J496" s="309"/>
      <c r="K496" s="310"/>
      <c r="L496" s="309"/>
      <c r="M496" s="309"/>
      <c r="N496" s="309"/>
      <c r="O496" s="309"/>
      <c r="P496" s="309"/>
      <c r="Q496" s="309"/>
      <c r="R496" s="309"/>
      <c r="S496" s="309"/>
      <c r="T496" s="309"/>
      <c r="U496" s="309"/>
      <c r="V496" s="309"/>
      <c r="W496" s="309"/>
      <c r="X496" s="309"/>
      <c r="Y496" s="309"/>
      <c r="Z496" s="309"/>
      <c r="AA496" s="309"/>
      <c r="AB496" s="309"/>
      <c r="AC496" s="309"/>
    </row>
    <row r="497" spans="1:29" ht="12.75" customHeight="1">
      <c r="A497" s="309"/>
      <c r="B497" s="309"/>
      <c r="C497" s="309"/>
      <c r="D497" s="309"/>
      <c r="E497" s="309"/>
      <c r="F497" s="309"/>
      <c r="G497" s="309"/>
      <c r="H497" s="309"/>
      <c r="I497" s="309"/>
      <c r="J497" s="309"/>
      <c r="K497" s="310"/>
      <c r="L497" s="309"/>
      <c r="M497" s="309"/>
      <c r="N497" s="309"/>
      <c r="O497" s="309"/>
      <c r="P497" s="309"/>
      <c r="Q497" s="309"/>
      <c r="R497" s="309"/>
      <c r="S497" s="309"/>
      <c r="T497" s="309"/>
      <c r="U497" s="309"/>
      <c r="V497" s="309"/>
      <c r="W497" s="309"/>
      <c r="X497" s="309"/>
      <c r="Y497" s="309"/>
      <c r="Z497" s="309"/>
      <c r="AA497" s="309"/>
      <c r="AB497" s="309"/>
      <c r="AC497" s="309"/>
    </row>
    <row r="498" spans="1:29" ht="12.75" customHeight="1">
      <c r="A498" s="309"/>
      <c r="B498" s="309"/>
      <c r="C498" s="309"/>
      <c r="D498" s="309"/>
      <c r="E498" s="309"/>
      <c r="F498" s="309"/>
      <c r="G498" s="309"/>
      <c r="H498" s="309"/>
      <c r="I498" s="309"/>
      <c r="J498" s="309"/>
      <c r="K498" s="310"/>
      <c r="L498" s="309"/>
      <c r="M498" s="309"/>
      <c r="N498" s="309"/>
      <c r="O498" s="309"/>
      <c r="P498" s="309"/>
      <c r="Q498" s="309"/>
      <c r="R498" s="309"/>
      <c r="S498" s="309"/>
      <c r="T498" s="309"/>
      <c r="U498" s="309"/>
      <c r="V498" s="309"/>
      <c r="W498" s="309"/>
      <c r="X498" s="309"/>
      <c r="Y498" s="309"/>
      <c r="Z498" s="309"/>
      <c r="AA498" s="309"/>
      <c r="AB498" s="309"/>
      <c r="AC498" s="309"/>
    </row>
    <row r="499" spans="1:29" ht="12.75" customHeight="1">
      <c r="A499" s="309"/>
      <c r="B499" s="309"/>
      <c r="C499" s="309"/>
      <c r="D499" s="309"/>
      <c r="E499" s="309"/>
      <c r="F499" s="309"/>
      <c r="G499" s="309"/>
      <c r="H499" s="309"/>
      <c r="I499" s="309"/>
      <c r="J499" s="309"/>
      <c r="K499" s="310"/>
      <c r="L499" s="309"/>
      <c r="M499" s="309"/>
      <c r="N499" s="309"/>
      <c r="O499" s="309"/>
      <c r="P499" s="309"/>
      <c r="Q499" s="309"/>
      <c r="R499" s="309"/>
      <c r="S499" s="309"/>
      <c r="T499" s="309"/>
      <c r="U499" s="309"/>
      <c r="V499" s="309"/>
      <c r="W499" s="309"/>
      <c r="X499" s="309"/>
      <c r="Y499" s="309"/>
      <c r="Z499" s="309"/>
      <c r="AA499" s="309"/>
      <c r="AB499" s="309"/>
      <c r="AC499" s="309"/>
    </row>
    <row r="500" spans="1:29" ht="12.75" customHeight="1">
      <c r="A500" s="309"/>
      <c r="B500" s="309"/>
      <c r="C500" s="309"/>
      <c r="D500" s="309"/>
      <c r="E500" s="309"/>
      <c r="F500" s="309"/>
      <c r="G500" s="309"/>
      <c r="H500" s="309"/>
      <c r="I500" s="309"/>
      <c r="J500" s="309"/>
      <c r="K500" s="310"/>
      <c r="L500" s="309"/>
      <c r="M500" s="309"/>
      <c r="N500" s="309"/>
      <c r="O500" s="309"/>
      <c r="P500" s="309"/>
      <c r="Q500" s="309"/>
      <c r="R500" s="309"/>
      <c r="S500" s="309"/>
      <c r="T500" s="309"/>
      <c r="U500" s="309"/>
      <c r="V500" s="309"/>
      <c r="W500" s="309"/>
      <c r="X500" s="309"/>
      <c r="Y500" s="309"/>
      <c r="Z500" s="309"/>
      <c r="AA500" s="309"/>
      <c r="AB500" s="309"/>
      <c r="AC500" s="309"/>
    </row>
    <row r="501" spans="1:29" ht="12.75" customHeight="1">
      <c r="A501" s="309"/>
      <c r="B501" s="309"/>
      <c r="C501" s="309"/>
      <c r="D501" s="309"/>
      <c r="E501" s="309"/>
      <c r="F501" s="309"/>
      <c r="G501" s="309"/>
      <c r="H501" s="309"/>
      <c r="I501" s="309"/>
      <c r="J501" s="309"/>
      <c r="K501" s="310"/>
      <c r="L501" s="309"/>
      <c r="M501" s="309"/>
      <c r="N501" s="309"/>
      <c r="O501" s="309"/>
      <c r="P501" s="309"/>
      <c r="Q501" s="309"/>
      <c r="R501" s="309"/>
      <c r="S501" s="309"/>
      <c r="T501" s="309"/>
      <c r="U501" s="309"/>
      <c r="V501" s="309"/>
      <c r="W501" s="309"/>
      <c r="X501" s="309"/>
      <c r="Y501" s="309"/>
      <c r="Z501" s="309"/>
      <c r="AA501" s="309"/>
      <c r="AB501" s="309"/>
      <c r="AC501" s="309"/>
    </row>
    <row r="502" spans="1:29" ht="12.75" customHeight="1">
      <c r="A502" s="309"/>
      <c r="B502" s="309"/>
      <c r="C502" s="309"/>
      <c r="D502" s="309"/>
      <c r="E502" s="309"/>
      <c r="F502" s="309"/>
      <c r="G502" s="309"/>
      <c r="H502" s="309"/>
      <c r="I502" s="309"/>
      <c r="J502" s="309"/>
      <c r="K502" s="310"/>
      <c r="L502" s="309"/>
      <c r="M502" s="309"/>
      <c r="N502" s="309"/>
      <c r="O502" s="309"/>
      <c r="P502" s="309"/>
      <c r="Q502" s="309"/>
      <c r="R502" s="309"/>
      <c r="S502" s="309"/>
      <c r="T502" s="309"/>
      <c r="U502" s="309"/>
      <c r="V502" s="309"/>
      <c r="W502" s="309"/>
      <c r="X502" s="309"/>
      <c r="Y502" s="309"/>
      <c r="Z502" s="309"/>
      <c r="AA502" s="309"/>
      <c r="AB502" s="309"/>
      <c r="AC502" s="309"/>
    </row>
    <row r="503" spans="1:29" ht="12.75" customHeight="1">
      <c r="A503" s="309"/>
      <c r="B503" s="309"/>
      <c r="C503" s="309"/>
      <c r="D503" s="309"/>
      <c r="E503" s="309"/>
      <c r="F503" s="309"/>
      <c r="G503" s="309"/>
      <c r="H503" s="309"/>
      <c r="I503" s="309"/>
      <c r="J503" s="309"/>
      <c r="K503" s="310"/>
      <c r="L503" s="309"/>
      <c r="M503" s="309"/>
      <c r="N503" s="309"/>
      <c r="O503" s="309"/>
      <c r="P503" s="309"/>
      <c r="Q503" s="309"/>
      <c r="R503" s="309"/>
      <c r="S503" s="309"/>
      <c r="T503" s="309"/>
      <c r="U503" s="309"/>
      <c r="V503" s="309"/>
      <c r="W503" s="309"/>
      <c r="X503" s="309"/>
      <c r="Y503" s="309"/>
      <c r="Z503" s="309"/>
      <c r="AA503" s="309"/>
      <c r="AB503" s="309"/>
      <c r="AC503" s="309"/>
    </row>
    <row r="504" spans="1:29" ht="12.75" customHeight="1">
      <c r="A504" s="309"/>
      <c r="B504" s="309"/>
      <c r="C504" s="309"/>
      <c r="D504" s="309"/>
      <c r="E504" s="309"/>
      <c r="F504" s="309"/>
      <c r="G504" s="309"/>
      <c r="H504" s="309"/>
      <c r="I504" s="309"/>
      <c r="J504" s="309"/>
      <c r="K504" s="310"/>
      <c r="L504" s="309"/>
      <c r="M504" s="309"/>
      <c r="N504" s="309"/>
      <c r="O504" s="309"/>
      <c r="P504" s="309"/>
      <c r="Q504" s="309"/>
      <c r="R504" s="309"/>
      <c r="S504" s="309"/>
      <c r="T504" s="309"/>
      <c r="U504" s="309"/>
      <c r="V504" s="309"/>
      <c r="W504" s="309"/>
      <c r="X504" s="309"/>
      <c r="Y504" s="309"/>
      <c r="Z504" s="309"/>
      <c r="AA504" s="309"/>
      <c r="AB504" s="309"/>
      <c r="AC504" s="309"/>
    </row>
    <row r="505" spans="1:29" ht="12.75" customHeight="1">
      <c r="A505" s="309"/>
      <c r="B505" s="309"/>
      <c r="C505" s="309"/>
      <c r="D505" s="309"/>
      <c r="E505" s="309"/>
      <c r="F505" s="309"/>
      <c r="G505" s="309"/>
      <c r="H505" s="309"/>
      <c r="I505" s="309"/>
      <c r="J505" s="309"/>
      <c r="K505" s="310"/>
      <c r="L505" s="309"/>
      <c r="M505" s="309"/>
      <c r="N505" s="309"/>
      <c r="O505" s="309"/>
      <c r="P505" s="309"/>
      <c r="Q505" s="309"/>
      <c r="R505" s="309"/>
      <c r="S505" s="309"/>
      <c r="T505" s="309"/>
      <c r="U505" s="309"/>
      <c r="V505" s="309"/>
      <c r="W505" s="309"/>
      <c r="X505" s="309"/>
      <c r="Y505" s="309"/>
      <c r="Z505" s="309"/>
      <c r="AA505" s="309"/>
      <c r="AB505" s="309"/>
      <c r="AC505" s="309"/>
    </row>
    <row r="506" spans="1:29" ht="12.75" customHeight="1">
      <c r="A506" s="309"/>
      <c r="B506" s="309"/>
      <c r="C506" s="309"/>
      <c r="D506" s="309"/>
      <c r="E506" s="309"/>
      <c r="F506" s="309"/>
      <c r="G506" s="309"/>
      <c r="H506" s="309"/>
      <c r="I506" s="309"/>
      <c r="J506" s="309"/>
      <c r="K506" s="310"/>
      <c r="L506" s="309"/>
      <c r="M506" s="309"/>
      <c r="N506" s="309"/>
      <c r="O506" s="309"/>
      <c r="P506" s="309"/>
      <c r="Q506" s="309"/>
      <c r="R506" s="309"/>
      <c r="S506" s="309"/>
      <c r="T506" s="309"/>
      <c r="U506" s="309"/>
      <c r="V506" s="309"/>
      <c r="W506" s="309"/>
      <c r="X506" s="309"/>
      <c r="Y506" s="309"/>
      <c r="Z506" s="309"/>
      <c r="AA506" s="309"/>
      <c r="AB506" s="309"/>
      <c r="AC506" s="309"/>
    </row>
    <row r="507" spans="1:29" ht="12.75" customHeight="1">
      <c r="A507" s="309"/>
      <c r="B507" s="309"/>
      <c r="C507" s="309"/>
      <c r="D507" s="309"/>
      <c r="E507" s="309"/>
      <c r="F507" s="309"/>
      <c r="G507" s="309"/>
      <c r="H507" s="309"/>
      <c r="I507" s="309"/>
      <c r="J507" s="309"/>
      <c r="K507" s="310"/>
      <c r="L507" s="309"/>
      <c r="M507" s="309"/>
      <c r="N507" s="309"/>
      <c r="O507" s="309"/>
      <c r="P507" s="309"/>
      <c r="Q507" s="309"/>
      <c r="R507" s="309"/>
      <c r="S507" s="309"/>
      <c r="T507" s="309"/>
      <c r="U507" s="309"/>
      <c r="V507" s="309"/>
      <c r="W507" s="309"/>
      <c r="X507" s="309"/>
      <c r="Y507" s="309"/>
      <c r="Z507" s="309"/>
      <c r="AA507" s="309"/>
      <c r="AB507" s="309"/>
      <c r="AC507" s="309"/>
    </row>
    <row r="508" spans="1:29" ht="12.75" customHeight="1">
      <c r="A508" s="309"/>
      <c r="B508" s="309"/>
      <c r="C508" s="309"/>
      <c r="D508" s="309"/>
      <c r="E508" s="309"/>
      <c r="F508" s="309"/>
      <c r="G508" s="309"/>
      <c r="H508" s="309"/>
      <c r="I508" s="309"/>
      <c r="J508" s="309"/>
      <c r="K508" s="310"/>
      <c r="L508" s="309"/>
      <c r="M508" s="309"/>
      <c r="N508" s="309"/>
      <c r="O508" s="309"/>
      <c r="P508" s="309"/>
      <c r="Q508" s="309"/>
      <c r="R508" s="309"/>
      <c r="S508" s="309"/>
      <c r="T508" s="309"/>
      <c r="U508" s="309"/>
      <c r="V508" s="309"/>
      <c r="W508" s="309"/>
      <c r="X508" s="309"/>
      <c r="Y508" s="309"/>
      <c r="Z508" s="309"/>
      <c r="AA508" s="309"/>
      <c r="AB508" s="309"/>
      <c r="AC508" s="309"/>
    </row>
    <row r="509" spans="1:29" ht="12.75" customHeight="1">
      <c r="A509" s="309"/>
      <c r="B509" s="309"/>
      <c r="C509" s="309"/>
      <c r="D509" s="309"/>
      <c r="E509" s="309"/>
      <c r="F509" s="309"/>
      <c r="G509" s="309"/>
      <c r="H509" s="309"/>
      <c r="I509" s="309"/>
      <c r="J509" s="309"/>
      <c r="K509" s="310"/>
      <c r="L509" s="309"/>
      <c r="M509" s="309"/>
      <c r="N509" s="309"/>
      <c r="O509" s="309"/>
      <c r="P509" s="309"/>
      <c r="Q509" s="309"/>
      <c r="R509" s="309"/>
      <c r="S509" s="309"/>
      <c r="T509" s="309"/>
      <c r="U509" s="309"/>
      <c r="V509" s="309"/>
      <c r="W509" s="309"/>
      <c r="X509" s="309"/>
      <c r="Y509" s="309"/>
      <c r="Z509" s="309"/>
      <c r="AA509" s="309"/>
      <c r="AB509" s="309"/>
      <c r="AC509" s="309"/>
    </row>
    <row r="510" spans="1:29" ht="12.75" customHeight="1">
      <c r="A510" s="309"/>
      <c r="B510" s="309"/>
      <c r="C510" s="309"/>
      <c r="D510" s="309"/>
      <c r="E510" s="309"/>
      <c r="F510" s="309"/>
      <c r="G510" s="309"/>
      <c r="H510" s="309"/>
      <c r="I510" s="309"/>
      <c r="J510" s="309"/>
      <c r="K510" s="310"/>
      <c r="L510" s="309"/>
      <c r="M510" s="309"/>
      <c r="N510" s="309"/>
      <c r="O510" s="309"/>
      <c r="P510" s="309"/>
      <c r="Q510" s="309"/>
      <c r="R510" s="309"/>
      <c r="S510" s="309"/>
      <c r="T510" s="309"/>
      <c r="U510" s="309"/>
      <c r="V510" s="309"/>
      <c r="W510" s="309"/>
      <c r="X510" s="309"/>
      <c r="Y510" s="309"/>
      <c r="Z510" s="309"/>
      <c r="AA510" s="309"/>
      <c r="AB510" s="309"/>
      <c r="AC510" s="309"/>
    </row>
    <row r="511" spans="1:29" ht="12.75" customHeight="1">
      <c r="A511" s="309"/>
      <c r="B511" s="309"/>
      <c r="C511" s="309"/>
      <c r="D511" s="309"/>
      <c r="E511" s="309"/>
      <c r="F511" s="309"/>
      <c r="G511" s="309"/>
      <c r="H511" s="309"/>
      <c r="I511" s="309"/>
      <c r="J511" s="309"/>
      <c r="K511" s="310"/>
      <c r="L511" s="309"/>
      <c r="M511" s="309"/>
      <c r="N511" s="309"/>
      <c r="O511" s="309"/>
      <c r="P511" s="309"/>
      <c r="Q511" s="309"/>
      <c r="R511" s="309"/>
      <c r="S511" s="309"/>
      <c r="T511" s="309"/>
      <c r="U511" s="309"/>
      <c r="V511" s="309"/>
      <c r="W511" s="309"/>
      <c r="X511" s="309"/>
      <c r="Y511" s="309"/>
      <c r="Z511" s="309"/>
      <c r="AA511" s="309"/>
      <c r="AB511" s="309"/>
      <c r="AC511" s="309"/>
    </row>
    <row r="512" spans="1:29" ht="12.75" customHeight="1">
      <c r="A512" s="309"/>
      <c r="B512" s="309"/>
      <c r="C512" s="309"/>
      <c r="D512" s="309"/>
      <c r="E512" s="309"/>
      <c r="F512" s="309"/>
      <c r="G512" s="309"/>
      <c r="H512" s="309"/>
      <c r="I512" s="309"/>
      <c r="J512" s="309"/>
      <c r="K512" s="310"/>
      <c r="L512" s="309"/>
      <c r="M512" s="309"/>
      <c r="N512" s="309"/>
      <c r="O512" s="309"/>
      <c r="P512" s="309"/>
      <c r="Q512" s="309"/>
      <c r="R512" s="309"/>
      <c r="S512" s="309"/>
      <c r="T512" s="309"/>
      <c r="U512" s="309"/>
      <c r="V512" s="309"/>
      <c r="W512" s="309"/>
      <c r="X512" s="309"/>
      <c r="Y512" s="309"/>
      <c r="Z512" s="309"/>
      <c r="AA512" s="309"/>
      <c r="AB512" s="309"/>
      <c r="AC512" s="309"/>
    </row>
    <row r="513" spans="1:29" ht="12.75" customHeight="1">
      <c r="A513" s="309"/>
      <c r="B513" s="309"/>
      <c r="C513" s="309"/>
      <c r="D513" s="309"/>
      <c r="E513" s="309"/>
      <c r="F513" s="309"/>
      <c r="G513" s="309"/>
      <c r="H513" s="309"/>
      <c r="I513" s="309"/>
      <c r="J513" s="309"/>
      <c r="K513" s="310"/>
      <c r="L513" s="309"/>
      <c r="M513" s="309"/>
      <c r="N513" s="309"/>
      <c r="O513" s="309"/>
      <c r="P513" s="309"/>
      <c r="Q513" s="309"/>
      <c r="R513" s="309"/>
      <c r="S513" s="309"/>
      <c r="T513" s="309"/>
      <c r="U513" s="309"/>
      <c r="V513" s="309"/>
      <c r="W513" s="309"/>
      <c r="X513" s="309"/>
      <c r="Y513" s="309"/>
      <c r="Z513" s="309"/>
      <c r="AA513" s="309"/>
      <c r="AB513" s="309"/>
      <c r="AC513" s="309"/>
    </row>
    <row r="514" spans="1:29" ht="12.75" customHeight="1">
      <c r="A514" s="309"/>
      <c r="B514" s="309"/>
      <c r="C514" s="309"/>
      <c r="D514" s="309"/>
      <c r="E514" s="309"/>
      <c r="F514" s="309"/>
      <c r="G514" s="309"/>
      <c r="H514" s="309"/>
      <c r="I514" s="309"/>
      <c r="J514" s="309"/>
      <c r="K514" s="310"/>
      <c r="L514" s="309"/>
      <c r="M514" s="309"/>
      <c r="N514" s="309"/>
      <c r="O514" s="309"/>
      <c r="P514" s="309"/>
      <c r="Q514" s="309"/>
      <c r="R514" s="309"/>
      <c r="S514" s="309"/>
      <c r="T514" s="309"/>
      <c r="U514" s="309"/>
      <c r="V514" s="309"/>
      <c r="W514" s="309"/>
      <c r="X514" s="309"/>
      <c r="Y514" s="309"/>
      <c r="Z514" s="309"/>
      <c r="AA514" s="309"/>
      <c r="AB514" s="309"/>
      <c r="AC514" s="309"/>
    </row>
    <row r="515" spans="1:29" ht="12.75" customHeight="1">
      <c r="A515" s="309"/>
      <c r="B515" s="309"/>
      <c r="C515" s="309"/>
      <c r="D515" s="309"/>
      <c r="E515" s="309"/>
      <c r="F515" s="309"/>
      <c r="G515" s="309"/>
      <c r="H515" s="309"/>
      <c r="I515" s="309"/>
      <c r="J515" s="309"/>
      <c r="K515" s="310"/>
      <c r="L515" s="309"/>
      <c r="M515" s="309"/>
      <c r="N515" s="309"/>
      <c r="O515" s="309"/>
      <c r="P515" s="309"/>
      <c r="Q515" s="309"/>
      <c r="R515" s="309"/>
      <c r="S515" s="309"/>
      <c r="T515" s="309"/>
      <c r="U515" s="309"/>
      <c r="V515" s="309"/>
      <c r="W515" s="309"/>
      <c r="X515" s="309"/>
      <c r="Y515" s="309"/>
      <c r="Z515" s="309"/>
      <c r="AA515" s="309"/>
      <c r="AB515" s="309"/>
      <c r="AC515" s="309"/>
    </row>
    <row r="516" spans="1:29" ht="12.75" customHeight="1">
      <c r="A516" s="309"/>
      <c r="B516" s="309"/>
      <c r="C516" s="309"/>
      <c r="D516" s="309"/>
      <c r="E516" s="309"/>
      <c r="F516" s="309"/>
      <c r="G516" s="309"/>
      <c r="H516" s="309"/>
      <c r="I516" s="309"/>
      <c r="J516" s="309"/>
      <c r="K516" s="310"/>
      <c r="L516" s="309"/>
      <c r="M516" s="309"/>
      <c r="N516" s="309"/>
      <c r="O516" s="309"/>
      <c r="P516" s="309"/>
      <c r="Q516" s="309"/>
      <c r="R516" s="309"/>
      <c r="S516" s="309"/>
      <c r="T516" s="309"/>
      <c r="U516" s="309"/>
      <c r="V516" s="309"/>
      <c r="W516" s="309"/>
      <c r="X516" s="309"/>
      <c r="Y516" s="309"/>
      <c r="Z516" s="309"/>
      <c r="AA516" s="309"/>
      <c r="AB516" s="309"/>
      <c r="AC516" s="309"/>
    </row>
    <row r="517" spans="1:29" ht="12.75" customHeight="1">
      <c r="A517" s="309"/>
      <c r="B517" s="309"/>
      <c r="C517" s="309"/>
      <c r="D517" s="309"/>
      <c r="E517" s="309"/>
      <c r="F517" s="309"/>
      <c r="G517" s="309"/>
      <c r="H517" s="309"/>
      <c r="I517" s="309"/>
      <c r="J517" s="309"/>
      <c r="K517" s="310"/>
      <c r="L517" s="309"/>
      <c r="M517" s="309"/>
      <c r="N517" s="309"/>
      <c r="O517" s="309"/>
      <c r="P517" s="309"/>
      <c r="Q517" s="309"/>
      <c r="R517" s="309"/>
      <c r="S517" s="309"/>
      <c r="T517" s="309"/>
      <c r="U517" s="309"/>
      <c r="V517" s="309"/>
      <c r="W517" s="309"/>
      <c r="X517" s="309"/>
      <c r="Y517" s="309"/>
      <c r="Z517" s="309"/>
      <c r="AA517" s="309"/>
      <c r="AB517" s="309"/>
      <c r="AC517" s="309"/>
    </row>
    <row r="518" spans="1:29" ht="12.75" customHeight="1">
      <c r="A518" s="309"/>
      <c r="B518" s="309"/>
      <c r="C518" s="309"/>
      <c r="D518" s="309"/>
      <c r="E518" s="309"/>
      <c r="F518" s="309"/>
      <c r="G518" s="309"/>
      <c r="H518" s="309"/>
      <c r="I518" s="309"/>
      <c r="J518" s="309"/>
      <c r="K518" s="310"/>
      <c r="L518" s="309"/>
      <c r="M518" s="309"/>
      <c r="N518" s="309"/>
      <c r="O518" s="309"/>
      <c r="P518" s="309"/>
      <c r="Q518" s="309"/>
      <c r="R518" s="309"/>
      <c r="S518" s="309"/>
      <c r="T518" s="309"/>
      <c r="U518" s="309"/>
      <c r="V518" s="309"/>
      <c r="W518" s="309"/>
      <c r="X518" s="309"/>
      <c r="Y518" s="309"/>
      <c r="Z518" s="309"/>
      <c r="AA518" s="309"/>
      <c r="AB518" s="309"/>
      <c r="AC518" s="309"/>
    </row>
    <row r="519" spans="1:29" ht="12.75" customHeight="1">
      <c r="A519" s="309"/>
      <c r="B519" s="309"/>
      <c r="C519" s="309"/>
      <c r="D519" s="309"/>
      <c r="E519" s="309"/>
      <c r="F519" s="309"/>
      <c r="G519" s="309"/>
      <c r="H519" s="309"/>
      <c r="I519" s="309"/>
      <c r="J519" s="309"/>
      <c r="K519" s="310"/>
      <c r="L519" s="309"/>
      <c r="M519" s="309"/>
      <c r="N519" s="309"/>
      <c r="O519" s="309"/>
      <c r="P519" s="309"/>
      <c r="Q519" s="309"/>
      <c r="R519" s="309"/>
      <c r="S519" s="309"/>
      <c r="T519" s="309"/>
      <c r="U519" s="309"/>
      <c r="V519" s="309"/>
      <c r="W519" s="309"/>
      <c r="X519" s="309"/>
      <c r="Y519" s="309"/>
      <c r="Z519" s="309"/>
      <c r="AA519" s="309"/>
      <c r="AB519" s="309"/>
      <c r="AC519" s="309"/>
    </row>
    <row r="520" spans="1:29" ht="12.75" customHeight="1">
      <c r="A520" s="309"/>
      <c r="B520" s="309"/>
      <c r="C520" s="309"/>
      <c r="D520" s="309"/>
      <c r="E520" s="309"/>
      <c r="F520" s="309"/>
      <c r="G520" s="309"/>
      <c r="H520" s="309"/>
      <c r="I520" s="309"/>
      <c r="J520" s="309"/>
      <c r="K520" s="310"/>
      <c r="L520" s="309"/>
      <c r="M520" s="309"/>
      <c r="N520" s="309"/>
      <c r="O520" s="309"/>
      <c r="P520" s="309"/>
      <c r="Q520" s="309"/>
      <c r="R520" s="309"/>
      <c r="S520" s="309"/>
      <c r="T520" s="309"/>
      <c r="U520" s="309"/>
      <c r="V520" s="309"/>
      <c r="W520" s="309"/>
      <c r="X520" s="309"/>
      <c r="Y520" s="309"/>
      <c r="Z520" s="309"/>
      <c r="AA520" s="309"/>
      <c r="AB520" s="309"/>
      <c r="AC520" s="309"/>
    </row>
    <row r="521" spans="1:29" ht="12.75" customHeight="1">
      <c r="A521" s="309"/>
      <c r="B521" s="309"/>
      <c r="C521" s="309"/>
      <c r="D521" s="309"/>
      <c r="E521" s="309"/>
      <c r="F521" s="309"/>
      <c r="G521" s="309"/>
      <c r="H521" s="309"/>
      <c r="I521" s="309"/>
      <c r="J521" s="309"/>
      <c r="K521" s="310"/>
      <c r="L521" s="309"/>
      <c r="M521" s="309"/>
      <c r="N521" s="309"/>
      <c r="O521" s="309"/>
      <c r="P521" s="309"/>
      <c r="Q521" s="309"/>
      <c r="R521" s="309"/>
      <c r="S521" s="309"/>
      <c r="T521" s="309"/>
      <c r="U521" s="309"/>
      <c r="V521" s="309"/>
      <c r="W521" s="309"/>
      <c r="X521" s="309"/>
      <c r="Y521" s="309"/>
      <c r="Z521" s="309"/>
      <c r="AA521" s="309"/>
      <c r="AB521" s="309"/>
      <c r="AC521" s="309"/>
    </row>
    <row r="522" spans="1:29" ht="12.75" customHeight="1">
      <c r="A522" s="309"/>
      <c r="B522" s="309"/>
      <c r="C522" s="309"/>
      <c r="D522" s="309"/>
      <c r="E522" s="309"/>
      <c r="F522" s="309"/>
      <c r="G522" s="309"/>
      <c r="H522" s="309"/>
      <c r="I522" s="309"/>
      <c r="J522" s="309"/>
      <c r="K522" s="310"/>
      <c r="L522" s="309"/>
      <c r="M522" s="309"/>
      <c r="N522" s="309"/>
      <c r="O522" s="309"/>
      <c r="P522" s="309"/>
      <c r="Q522" s="309"/>
      <c r="R522" s="309"/>
      <c r="S522" s="309"/>
      <c r="T522" s="309"/>
      <c r="U522" s="309"/>
      <c r="V522" s="309"/>
      <c r="W522" s="309"/>
      <c r="X522" s="309"/>
      <c r="Y522" s="309"/>
      <c r="Z522" s="309"/>
      <c r="AA522" s="309"/>
      <c r="AB522" s="309"/>
      <c r="AC522" s="309"/>
    </row>
    <row r="523" spans="1:29" ht="12.75" customHeight="1">
      <c r="A523" s="309"/>
      <c r="B523" s="309"/>
      <c r="C523" s="309"/>
      <c r="D523" s="309"/>
      <c r="E523" s="309"/>
      <c r="F523" s="309"/>
      <c r="G523" s="309"/>
      <c r="H523" s="309"/>
      <c r="I523" s="309"/>
      <c r="J523" s="309"/>
      <c r="K523" s="310"/>
      <c r="L523" s="309"/>
      <c r="M523" s="309"/>
      <c r="N523" s="309"/>
      <c r="O523" s="309"/>
      <c r="P523" s="309"/>
      <c r="Q523" s="309"/>
      <c r="R523" s="309"/>
      <c r="S523" s="309"/>
      <c r="T523" s="309"/>
      <c r="U523" s="309"/>
      <c r="V523" s="309"/>
      <c r="W523" s="309"/>
      <c r="X523" s="309"/>
      <c r="Y523" s="309"/>
      <c r="Z523" s="309"/>
      <c r="AA523" s="309"/>
      <c r="AB523" s="309"/>
      <c r="AC523" s="309"/>
    </row>
    <row r="524" spans="1:29" ht="12.75" customHeight="1">
      <c r="A524" s="309"/>
      <c r="B524" s="309"/>
      <c r="C524" s="309"/>
      <c r="D524" s="309"/>
      <c r="E524" s="309"/>
      <c r="F524" s="309"/>
      <c r="G524" s="309"/>
      <c r="H524" s="309"/>
      <c r="I524" s="309"/>
      <c r="J524" s="309"/>
      <c r="K524" s="310"/>
      <c r="L524" s="309"/>
      <c r="M524" s="309"/>
      <c r="N524" s="309"/>
      <c r="O524" s="309"/>
      <c r="P524" s="309"/>
      <c r="Q524" s="309"/>
      <c r="R524" s="309"/>
      <c r="S524" s="309"/>
      <c r="T524" s="309"/>
      <c r="U524" s="309"/>
      <c r="V524" s="309"/>
      <c r="W524" s="309"/>
      <c r="X524" s="309"/>
      <c r="Y524" s="309"/>
      <c r="Z524" s="309"/>
      <c r="AA524" s="309"/>
      <c r="AB524" s="309"/>
      <c r="AC524" s="309"/>
    </row>
    <row r="525" spans="1:29" ht="12.75" customHeight="1">
      <c r="A525" s="309"/>
      <c r="B525" s="309"/>
      <c r="C525" s="309"/>
      <c r="D525" s="309"/>
      <c r="E525" s="309"/>
      <c r="F525" s="309"/>
      <c r="G525" s="309"/>
      <c r="H525" s="309"/>
      <c r="I525" s="309"/>
      <c r="J525" s="309"/>
      <c r="K525" s="310"/>
      <c r="L525" s="309"/>
      <c r="M525" s="309"/>
      <c r="N525" s="309"/>
      <c r="O525" s="309"/>
      <c r="P525" s="309"/>
      <c r="Q525" s="309"/>
      <c r="R525" s="309"/>
      <c r="S525" s="309"/>
      <c r="T525" s="309"/>
      <c r="U525" s="309"/>
      <c r="V525" s="309"/>
      <c r="W525" s="309"/>
      <c r="X525" s="309"/>
      <c r="Y525" s="309"/>
      <c r="Z525" s="309"/>
      <c r="AA525" s="309"/>
      <c r="AB525" s="309"/>
      <c r="AC525" s="309"/>
    </row>
    <row r="526" spans="1:29" ht="12.75" customHeight="1">
      <c r="A526" s="309"/>
      <c r="B526" s="309"/>
      <c r="C526" s="309"/>
      <c r="D526" s="309"/>
      <c r="E526" s="309"/>
      <c r="F526" s="309"/>
      <c r="G526" s="309"/>
      <c r="H526" s="309"/>
      <c r="I526" s="309"/>
      <c r="J526" s="309"/>
      <c r="K526" s="310"/>
      <c r="L526" s="309"/>
      <c r="M526" s="309"/>
      <c r="N526" s="309"/>
      <c r="O526" s="309"/>
      <c r="P526" s="309"/>
      <c r="Q526" s="309"/>
      <c r="R526" s="309"/>
      <c r="S526" s="309"/>
      <c r="T526" s="309"/>
      <c r="U526" s="309"/>
      <c r="V526" s="309"/>
      <c r="W526" s="309"/>
      <c r="X526" s="309"/>
      <c r="Y526" s="309"/>
      <c r="Z526" s="309"/>
      <c r="AA526" s="309"/>
      <c r="AB526" s="309"/>
      <c r="AC526" s="309"/>
    </row>
    <row r="527" spans="1:29" ht="12.75" customHeight="1">
      <c r="A527" s="309"/>
      <c r="B527" s="309"/>
      <c r="C527" s="309"/>
      <c r="D527" s="309"/>
      <c r="E527" s="309"/>
      <c r="F527" s="309"/>
      <c r="G527" s="309"/>
      <c r="H527" s="309"/>
      <c r="I527" s="309"/>
      <c r="J527" s="309"/>
      <c r="K527" s="310"/>
      <c r="L527" s="309"/>
      <c r="M527" s="309"/>
      <c r="N527" s="309"/>
      <c r="O527" s="309"/>
      <c r="P527" s="309"/>
      <c r="Q527" s="309"/>
      <c r="R527" s="309"/>
      <c r="S527" s="309"/>
      <c r="T527" s="309"/>
      <c r="U527" s="309"/>
      <c r="V527" s="309"/>
      <c r="W527" s="309"/>
      <c r="X527" s="309"/>
      <c r="Y527" s="309"/>
      <c r="Z527" s="309"/>
      <c r="AA527" s="309"/>
      <c r="AB527" s="309"/>
      <c r="AC527" s="309"/>
    </row>
    <row r="528" spans="1:29" ht="12.75" customHeight="1">
      <c r="A528" s="309"/>
      <c r="B528" s="309"/>
      <c r="C528" s="309"/>
      <c r="D528" s="309"/>
      <c r="E528" s="309"/>
      <c r="F528" s="309"/>
      <c r="G528" s="309"/>
      <c r="H528" s="309"/>
      <c r="I528" s="309"/>
      <c r="J528" s="309"/>
      <c r="K528" s="310"/>
      <c r="L528" s="309"/>
      <c r="M528" s="309"/>
      <c r="N528" s="309"/>
      <c r="O528" s="309"/>
      <c r="P528" s="309"/>
      <c r="Q528" s="309"/>
      <c r="R528" s="309"/>
      <c r="S528" s="309"/>
      <c r="T528" s="309"/>
      <c r="U528" s="309"/>
      <c r="V528" s="309"/>
      <c r="W528" s="309"/>
      <c r="X528" s="309"/>
      <c r="Y528" s="309"/>
      <c r="Z528" s="309"/>
      <c r="AA528" s="309"/>
      <c r="AB528" s="309"/>
      <c r="AC528" s="309"/>
    </row>
    <row r="529" spans="1:29" ht="12.75" customHeight="1">
      <c r="A529" s="309"/>
      <c r="B529" s="309"/>
      <c r="C529" s="309"/>
      <c r="D529" s="309"/>
      <c r="E529" s="309"/>
      <c r="F529" s="309"/>
      <c r="G529" s="309"/>
      <c r="H529" s="309"/>
      <c r="I529" s="309"/>
      <c r="J529" s="309"/>
      <c r="K529" s="310"/>
      <c r="L529" s="309"/>
      <c r="M529" s="309"/>
      <c r="N529" s="309"/>
      <c r="O529" s="309"/>
      <c r="P529" s="309"/>
      <c r="Q529" s="309"/>
      <c r="R529" s="309"/>
      <c r="S529" s="309"/>
      <c r="T529" s="309"/>
      <c r="U529" s="309"/>
      <c r="V529" s="309"/>
      <c r="W529" s="309"/>
      <c r="X529" s="309"/>
      <c r="Y529" s="309"/>
      <c r="Z529" s="309"/>
      <c r="AA529" s="309"/>
      <c r="AB529" s="309"/>
      <c r="AC529" s="309"/>
    </row>
    <row r="530" spans="1:29" ht="12.75" customHeight="1">
      <c r="A530" s="309"/>
      <c r="B530" s="309"/>
      <c r="C530" s="309"/>
      <c r="D530" s="309"/>
      <c r="E530" s="309"/>
      <c r="F530" s="309"/>
      <c r="G530" s="309"/>
      <c r="H530" s="309"/>
      <c r="I530" s="309"/>
      <c r="J530" s="309"/>
      <c r="K530" s="310"/>
      <c r="L530" s="309"/>
      <c r="M530" s="309"/>
      <c r="N530" s="309"/>
      <c r="O530" s="309"/>
      <c r="P530" s="309"/>
      <c r="Q530" s="309"/>
      <c r="R530" s="309"/>
      <c r="S530" s="309"/>
      <c r="T530" s="309"/>
      <c r="U530" s="309"/>
      <c r="V530" s="309"/>
      <c r="W530" s="309"/>
      <c r="X530" s="309"/>
      <c r="Y530" s="309"/>
      <c r="Z530" s="309"/>
      <c r="AA530" s="309"/>
      <c r="AB530" s="309"/>
      <c r="AC530" s="309"/>
    </row>
    <row r="531" spans="1:29" ht="12.75" customHeight="1">
      <c r="A531" s="309"/>
      <c r="B531" s="309"/>
      <c r="C531" s="309"/>
      <c r="D531" s="309"/>
      <c r="E531" s="309"/>
      <c r="F531" s="309"/>
      <c r="G531" s="309"/>
      <c r="H531" s="309"/>
      <c r="I531" s="309"/>
      <c r="J531" s="309"/>
      <c r="K531" s="310"/>
      <c r="L531" s="309"/>
      <c r="M531" s="309"/>
      <c r="N531" s="309"/>
      <c r="O531" s="309"/>
      <c r="P531" s="309"/>
      <c r="Q531" s="309"/>
      <c r="R531" s="309"/>
      <c r="S531" s="309"/>
      <c r="T531" s="309"/>
      <c r="U531" s="309"/>
      <c r="V531" s="309"/>
      <c r="W531" s="309"/>
      <c r="X531" s="309"/>
      <c r="Y531" s="309"/>
      <c r="Z531" s="309"/>
      <c r="AA531" s="309"/>
      <c r="AB531" s="309"/>
      <c r="AC531" s="309"/>
    </row>
    <row r="532" spans="1:29" ht="12.75" customHeight="1">
      <c r="A532" s="309"/>
      <c r="B532" s="309"/>
      <c r="C532" s="309"/>
      <c r="D532" s="309"/>
      <c r="E532" s="309"/>
      <c r="F532" s="309"/>
      <c r="G532" s="309"/>
      <c r="H532" s="309"/>
      <c r="I532" s="309"/>
      <c r="J532" s="309"/>
      <c r="K532" s="310"/>
      <c r="L532" s="309"/>
      <c r="M532" s="309"/>
      <c r="N532" s="309"/>
      <c r="O532" s="309"/>
      <c r="P532" s="309"/>
      <c r="Q532" s="309"/>
      <c r="R532" s="309"/>
      <c r="S532" s="309"/>
      <c r="T532" s="309"/>
      <c r="U532" s="309"/>
      <c r="V532" s="309"/>
      <c r="W532" s="309"/>
      <c r="X532" s="309"/>
      <c r="Y532" s="309"/>
      <c r="Z532" s="309"/>
      <c r="AA532" s="309"/>
      <c r="AB532" s="309"/>
      <c r="AC532" s="309"/>
    </row>
    <row r="533" spans="1:29" ht="12.75" customHeight="1">
      <c r="A533" s="309"/>
      <c r="B533" s="309"/>
      <c r="C533" s="309"/>
      <c r="D533" s="309"/>
      <c r="E533" s="309"/>
      <c r="F533" s="309"/>
      <c r="G533" s="309"/>
      <c r="H533" s="309"/>
      <c r="I533" s="309"/>
      <c r="J533" s="309"/>
      <c r="K533" s="310"/>
      <c r="L533" s="309"/>
      <c r="M533" s="309"/>
      <c r="N533" s="309"/>
      <c r="O533" s="309"/>
      <c r="P533" s="309"/>
      <c r="Q533" s="309"/>
      <c r="R533" s="309"/>
      <c r="S533" s="309"/>
      <c r="T533" s="309"/>
      <c r="U533" s="309"/>
      <c r="V533" s="309"/>
      <c r="W533" s="309"/>
      <c r="X533" s="309"/>
      <c r="Y533" s="309"/>
      <c r="Z533" s="309"/>
      <c r="AA533" s="309"/>
      <c r="AB533" s="309"/>
      <c r="AC533" s="309"/>
    </row>
    <row r="534" spans="1:29" ht="12.75" customHeight="1">
      <c r="A534" s="309"/>
      <c r="B534" s="309"/>
      <c r="C534" s="309"/>
      <c r="D534" s="309"/>
      <c r="E534" s="309"/>
      <c r="F534" s="309"/>
      <c r="G534" s="309"/>
      <c r="H534" s="309"/>
      <c r="I534" s="309"/>
      <c r="J534" s="309"/>
      <c r="K534" s="310"/>
      <c r="L534" s="309"/>
      <c r="M534" s="309"/>
      <c r="N534" s="309"/>
      <c r="O534" s="309"/>
      <c r="P534" s="309"/>
      <c r="Q534" s="309"/>
      <c r="R534" s="309"/>
      <c r="S534" s="309"/>
      <c r="T534" s="309"/>
      <c r="U534" s="309"/>
      <c r="V534" s="309"/>
      <c r="W534" s="309"/>
      <c r="X534" s="309"/>
      <c r="Y534" s="309"/>
      <c r="Z534" s="309"/>
      <c r="AA534" s="309"/>
      <c r="AB534" s="309"/>
      <c r="AC534" s="309"/>
    </row>
    <row r="535" spans="1:29" ht="12.75" customHeight="1">
      <c r="A535" s="309"/>
      <c r="B535" s="309"/>
      <c r="C535" s="309"/>
      <c r="D535" s="309"/>
      <c r="E535" s="309"/>
      <c r="F535" s="309"/>
      <c r="G535" s="309"/>
      <c r="H535" s="309"/>
      <c r="I535" s="309"/>
      <c r="J535" s="309"/>
      <c r="K535" s="310"/>
      <c r="L535" s="309"/>
      <c r="M535" s="309"/>
      <c r="N535" s="309"/>
      <c r="O535" s="309"/>
      <c r="P535" s="309"/>
      <c r="Q535" s="309"/>
      <c r="R535" s="309"/>
      <c r="S535" s="309"/>
      <c r="T535" s="309"/>
      <c r="U535" s="309"/>
      <c r="V535" s="309"/>
      <c r="W535" s="309"/>
      <c r="X535" s="309"/>
      <c r="Y535" s="309"/>
      <c r="Z535" s="309"/>
      <c r="AA535" s="309"/>
      <c r="AB535" s="309"/>
      <c r="AC535" s="309"/>
    </row>
    <row r="536" spans="1:29" ht="12.75" customHeight="1">
      <c r="A536" s="309"/>
      <c r="B536" s="309"/>
      <c r="C536" s="309"/>
      <c r="D536" s="309"/>
      <c r="E536" s="309"/>
      <c r="F536" s="309"/>
      <c r="G536" s="309"/>
      <c r="H536" s="309"/>
      <c r="I536" s="309"/>
      <c r="J536" s="309"/>
      <c r="K536" s="310"/>
      <c r="L536" s="309"/>
      <c r="M536" s="309"/>
      <c r="N536" s="309"/>
      <c r="O536" s="309"/>
      <c r="P536" s="309"/>
      <c r="Q536" s="309"/>
      <c r="R536" s="309"/>
      <c r="S536" s="309"/>
      <c r="T536" s="309"/>
      <c r="U536" s="309"/>
      <c r="V536" s="309"/>
      <c r="W536" s="309"/>
      <c r="X536" s="309"/>
      <c r="Y536" s="309"/>
      <c r="Z536" s="309"/>
      <c r="AA536" s="309"/>
      <c r="AB536" s="309"/>
      <c r="AC536" s="309"/>
    </row>
    <row r="537" spans="1:29" ht="12.75" customHeight="1">
      <c r="A537" s="309"/>
      <c r="B537" s="309"/>
      <c r="C537" s="309"/>
      <c r="D537" s="309"/>
      <c r="E537" s="309"/>
      <c r="F537" s="309"/>
      <c r="G537" s="309"/>
      <c r="H537" s="309"/>
      <c r="I537" s="309"/>
      <c r="J537" s="309"/>
      <c r="K537" s="310"/>
      <c r="L537" s="309"/>
      <c r="M537" s="309"/>
      <c r="N537" s="309"/>
      <c r="O537" s="309"/>
      <c r="P537" s="309"/>
      <c r="Q537" s="309"/>
      <c r="R537" s="309"/>
      <c r="S537" s="309"/>
      <c r="T537" s="309"/>
      <c r="U537" s="309"/>
      <c r="V537" s="309"/>
      <c r="W537" s="309"/>
      <c r="X537" s="309"/>
      <c r="Y537" s="309"/>
      <c r="Z537" s="309"/>
      <c r="AA537" s="309"/>
      <c r="AB537" s="309"/>
      <c r="AC537" s="309"/>
    </row>
    <row r="538" spans="1:29" ht="12.75" customHeight="1">
      <c r="A538" s="309"/>
      <c r="B538" s="309"/>
      <c r="C538" s="309"/>
      <c r="D538" s="309"/>
      <c r="E538" s="309"/>
      <c r="F538" s="309"/>
      <c r="G538" s="309"/>
      <c r="H538" s="309"/>
      <c r="I538" s="309"/>
      <c r="J538" s="309"/>
      <c r="K538" s="310"/>
      <c r="L538" s="309"/>
      <c r="M538" s="309"/>
      <c r="N538" s="309"/>
      <c r="O538" s="309"/>
      <c r="P538" s="309"/>
      <c r="Q538" s="309"/>
      <c r="R538" s="309"/>
      <c r="S538" s="309"/>
      <c r="T538" s="309"/>
      <c r="U538" s="309"/>
      <c r="V538" s="309"/>
      <c r="W538" s="309"/>
      <c r="X538" s="309"/>
      <c r="Y538" s="309"/>
      <c r="Z538" s="309"/>
      <c r="AA538" s="309"/>
      <c r="AB538" s="309"/>
      <c r="AC538" s="309"/>
    </row>
    <row r="539" spans="1:29" ht="12.75" customHeight="1">
      <c r="A539" s="309"/>
      <c r="B539" s="309"/>
      <c r="C539" s="309"/>
      <c r="D539" s="309"/>
      <c r="E539" s="309"/>
      <c r="F539" s="309"/>
      <c r="G539" s="309"/>
      <c r="H539" s="309"/>
      <c r="I539" s="309"/>
      <c r="J539" s="309"/>
      <c r="K539" s="310"/>
      <c r="L539" s="309"/>
      <c r="M539" s="309"/>
      <c r="N539" s="309"/>
      <c r="O539" s="309"/>
      <c r="P539" s="309"/>
      <c r="Q539" s="309"/>
      <c r="R539" s="309"/>
      <c r="S539" s="309"/>
      <c r="T539" s="309"/>
      <c r="U539" s="309"/>
      <c r="V539" s="309"/>
      <c r="W539" s="309"/>
      <c r="X539" s="309"/>
      <c r="Y539" s="309"/>
      <c r="Z539" s="309"/>
      <c r="AA539" s="309"/>
      <c r="AB539" s="309"/>
      <c r="AC539" s="309"/>
    </row>
    <row r="540" spans="1:29" ht="12.75" customHeight="1">
      <c r="A540" s="309"/>
      <c r="B540" s="309"/>
      <c r="C540" s="309"/>
      <c r="D540" s="309"/>
      <c r="E540" s="309"/>
      <c r="F540" s="309"/>
      <c r="G540" s="309"/>
      <c r="H540" s="309"/>
      <c r="I540" s="309"/>
      <c r="J540" s="309"/>
      <c r="K540" s="310"/>
      <c r="L540" s="309"/>
      <c r="M540" s="309"/>
      <c r="N540" s="309"/>
      <c r="O540" s="309"/>
      <c r="P540" s="309"/>
      <c r="Q540" s="309"/>
      <c r="R540" s="309"/>
      <c r="S540" s="309"/>
      <c r="T540" s="309"/>
      <c r="U540" s="309"/>
      <c r="V540" s="309"/>
      <c r="W540" s="309"/>
      <c r="X540" s="309"/>
      <c r="Y540" s="309"/>
      <c r="Z540" s="309"/>
      <c r="AA540" s="309"/>
      <c r="AB540" s="309"/>
      <c r="AC540" s="309"/>
    </row>
    <row r="541" spans="1:29" ht="12.75" customHeight="1">
      <c r="A541" s="309"/>
      <c r="B541" s="309"/>
      <c r="C541" s="309"/>
      <c r="D541" s="309"/>
      <c r="E541" s="309"/>
      <c r="F541" s="309"/>
      <c r="G541" s="309"/>
      <c r="H541" s="309"/>
      <c r="I541" s="309"/>
      <c r="J541" s="309"/>
      <c r="K541" s="310"/>
      <c r="L541" s="309"/>
      <c r="M541" s="309"/>
      <c r="N541" s="309"/>
      <c r="O541" s="309"/>
      <c r="P541" s="309"/>
      <c r="Q541" s="309"/>
      <c r="R541" s="309"/>
      <c r="S541" s="309"/>
      <c r="T541" s="309"/>
      <c r="U541" s="309"/>
      <c r="V541" s="309"/>
      <c r="W541" s="309"/>
      <c r="X541" s="309"/>
      <c r="Y541" s="309"/>
      <c r="Z541" s="309"/>
      <c r="AA541" s="309"/>
      <c r="AB541" s="309"/>
      <c r="AC541" s="309"/>
    </row>
    <row r="542" spans="1:29" ht="12.75" customHeight="1">
      <c r="A542" s="309"/>
      <c r="B542" s="309"/>
      <c r="C542" s="309"/>
      <c r="D542" s="309"/>
      <c r="E542" s="309"/>
      <c r="F542" s="309"/>
      <c r="G542" s="309"/>
      <c r="H542" s="309"/>
      <c r="I542" s="309"/>
      <c r="J542" s="309"/>
      <c r="K542" s="310"/>
      <c r="L542" s="309"/>
      <c r="M542" s="309"/>
      <c r="N542" s="309"/>
      <c r="O542" s="309"/>
      <c r="P542" s="309"/>
      <c r="Q542" s="309"/>
      <c r="R542" s="309"/>
      <c r="S542" s="309"/>
      <c r="T542" s="309"/>
      <c r="U542" s="309"/>
      <c r="V542" s="309"/>
      <c r="W542" s="309"/>
      <c r="X542" s="309"/>
      <c r="Y542" s="309"/>
      <c r="Z542" s="309"/>
      <c r="AA542" s="309"/>
      <c r="AB542" s="309"/>
      <c r="AC542" s="309"/>
    </row>
    <row r="543" spans="1:29" ht="12.75" customHeight="1">
      <c r="A543" s="309"/>
      <c r="B543" s="309"/>
      <c r="C543" s="309"/>
      <c r="D543" s="309"/>
      <c r="E543" s="309"/>
      <c r="F543" s="309"/>
      <c r="G543" s="309"/>
      <c r="H543" s="309"/>
      <c r="I543" s="309"/>
      <c r="J543" s="309"/>
      <c r="K543" s="310"/>
      <c r="L543" s="309"/>
      <c r="M543" s="309"/>
      <c r="N543" s="309"/>
      <c r="O543" s="309"/>
      <c r="P543" s="309"/>
      <c r="Q543" s="309"/>
      <c r="R543" s="309"/>
      <c r="S543" s="309"/>
      <c r="T543" s="309"/>
      <c r="U543" s="309"/>
      <c r="V543" s="309"/>
      <c r="W543" s="309"/>
      <c r="X543" s="309"/>
      <c r="Y543" s="309"/>
      <c r="Z543" s="309"/>
      <c r="AA543" s="309"/>
      <c r="AB543" s="309"/>
      <c r="AC543" s="309"/>
    </row>
    <row r="544" spans="1:29" ht="12.75" customHeight="1">
      <c r="A544" s="309"/>
      <c r="B544" s="309"/>
      <c r="C544" s="309"/>
      <c r="D544" s="309"/>
      <c r="E544" s="309"/>
      <c r="F544" s="309"/>
      <c r="G544" s="309"/>
      <c r="H544" s="309"/>
      <c r="I544" s="309"/>
      <c r="J544" s="309"/>
      <c r="K544" s="310"/>
      <c r="L544" s="309"/>
      <c r="M544" s="309"/>
      <c r="N544" s="309"/>
      <c r="O544" s="309"/>
      <c r="P544" s="309"/>
      <c r="Q544" s="309"/>
      <c r="R544" s="309"/>
      <c r="S544" s="309"/>
      <c r="T544" s="309"/>
      <c r="U544" s="309"/>
      <c r="V544" s="309"/>
      <c r="W544" s="309"/>
      <c r="X544" s="309"/>
      <c r="Y544" s="309"/>
      <c r="Z544" s="309"/>
      <c r="AA544" s="309"/>
      <c r="AB544" s="309"/>
      <c r="AC544" s="309"/>
    </row>
    <row r="545" spans="1:29" ht="12.75" customHeight="1">
      <c r="A545" s="309"/>
      <c r="B545" s="309"/>
      <c r="C545" s="309"/>
      <c r="D545" s="309"/>
      <c r="E545" s="309"/>
      <c r="F545" s="309"/>
      <c r="G545" s="309"/>
      <c r="H545" s="309"/>
      <c r="I545" s="309"/>
      <c r="J545" s="309"/>
      <c r="K545" s="310"/>
      <c r="L545" s="309"/>
      <c r="M545" s="309"/>
      <c r="N545" s="309"/>
      <c r="O545" s="309"/>
      <c r="P545" s="309"/>
      <c r="Q545" s="309"/>
      <c r="R545" s="309"/>
      <c r="S545" s="309"/>
      <c r="T545" s="309"/>
      <c r="U545" s="309"/>
      <c r="V545" s="309"/>
      <c r="W545" s="309"/>
      <c r="X545" s="309"/>
      <c r="Y545" s="309"/>
      <c r="Z545" s="309"/>
      <c r="AA545" s="309"/>
      <c r="AB545" s="309"/>
      <c r="AC545" s="309"/>
    </row>
    <row r="546" spans="1:29" ht="12.75" customHeight="1">
      <c r="A546" s="309"/>
      <c r="B546" s="309"/>
      <c r="C546" s="309"/>
      <c r="D546" s="309"/>
      <c r="E546" s="309"/>
      <c r="F546" s="309"/>
      <c r="G546" s="309"/>
      <c r="H546" s="309"/>
      <c r="I546" s="309"/>
      <c r="J546" s="309"/>
      <c r="K546" s="310"/>
      <c r="L546" s="309"/>
      <c r="M546" s="309"/>
      <c r="N546" s="309"/>
      <c r="O546" s="309"/>
      <c r="P546" s="309"/>
      <c r="Q546" s="309"/>
      <c r="R546" s="309"/>
      <c r="S546" s="309"/>
      <c r="T546" s="309"/>
      <c r="U546" s="309"/>
      <c r="V546" s="309"/>
      <c r="W546" s="309"/>
      <c r="X546" s="309"/>
      <c r="Y546" s="309"/>
      <c r="Z546" s="309"/>
      <c r="AA546" s="309"/>
      <c r="AB546" s="309"/>
      <c r="AC546" s="309"/>
    </row>
    <row r="547" spans="1:29" ht="12.75" customHeight="1">
      <c r="A547" s="309"/>
      <c r="B547" s="309"/>
      <c r="C547" s="309"/>
      <c r="D547" s="309"/>
      <c r="E547" s="309"/>
      <c r="F547" s="309"/>
      <c r="G547" s="309"/>
      <c r="H547" s="309"/>
      <c r="I547" s="309"/>
      <c r="J547" s="309"/>
      <c r="K547" s="310"/>
      <c r="L547" s="309"/>
      <c r="M547" s="309"/>
      <c r="N547" s="309"/>
      <c r="O547" s="309"/>
      <c r="P547" s="309"/>
      <c r="Q547" s="309"/>
      <c r="R547" s="309"/>
      <c r="S547" s="309"/>
      <c r="T547" s="309"/>
      <c r="U547" s="309"/>
      <c r="V547" s="309"/>
      <c r="W547" s="309"/>
      <c r="X547" s="309"/>
      <c r="Y547" s="309"/>
      <c r="Z547" s="309"/>
      <c r="AA547" s="309"/>
      <c r="AB547" s="309"/>
      <c r="AC547" s="309"/>
    </row>
    <row r="548" spans="1:29" ht="12.75" customHeight="1">
      <c r="A548" s="309"/>
      <c r="B548" s="309"/>
      <c r="C548" s="309"/>
      <c r="D548" s="309"/>
      <c r="E548" s="309"/>
      <c r="F548" s="309"/>
      <c r="G548" s="309"/>
      <c r="H548" s="309"/>
      <c r="I548" s="309"/>
      <c r="J548" s="309"/>
      <c r="K548" s="310"/>
      <c r="L548" s="309"/>
      <c r="M548" s="309"/>
      <c r="N548" s="309"/>
      <c r="O548" s="309"/>
      <c r="P548" s="309"/>
      <c r="Q548" s="309"/>
      <c r="R548" s="309"/>
      <c r="S548" s="309"/>
      <c r="T548" s="309"/>
      <c r="U548" s="309"/>
      <c r="V548" s="309"/>
      <c r="W548" s="309"/>
      <c r="X548" s="309"/>
      <c r="Y548" s="309"/>
      <c r="Z548" s="309"/>
      <c r="AA548" s="309"/>
      <c r="AB548" s="309"/>
      <c r="AC548" s="309"/>
    </row>
    <row r="549" spans="1:29" ht="12.75" customHeight="1">
      <c r="A549" s="309"/>
      <c r="B549" s="309"/>
      <c r="C549" s="309"/>
      <c r="D549" s="309"/>
      <c r="E549" s="309"/>
      <c r="F549" s="309"/>
      <c r="G549" s="309"/>
      <c r="H549" s="309"/>
      <c r="I549" s="309"/>
      <c r="J549" s="309"/>
      <c r="K549" s="310"/>
      <c r="L549" s="309"/>
      <c r="M549" s="309"/>
      <c r="N549" s="309"/>
      <c r="O549" s="309"/>
      <c r="P549" s="309"/>
      <c r="Q549" s="309"/>
      <c r="R549" s="309"/>
      <c r="S549" s="309"/>
      <c r="T549" s="309"/>
      <c r="U549" s="309"/>
      <c r="V549" s="309"/>
      <c r="W549" s="309"/>
      <c r="X549" s="309"/>
      <c r="Y549" s="309"/>
      <c r="Z549" s="309"/>
      <c r="AA549" s="309"/>
      <c r="AB549" s="309"/>
      <c r="AC549" s="309"/>
    </row>
    <row r="550" spans="1:29" ht="12.75" customHeight="1">
      <c r="A550" s="309"/>
      <c r="B550" s="309"/>
      <c r="C550" s="309"/>
      <c r="D550" s="309"/>
      <c r="E550" s="309"/>
      <c r="F550" s="309"/>
      <c r="G550" s="309"/>
      <c r="H550" s="309"/>
      <c r="I550" s="309"/>
      <c r="J550" s="309"/>
      <c r="K550" s="310"/>
      <c r="L550" s="309"/>
      <c r="M550" s="309"/>
      <c r="N550" s="309"/>
      <c r="O550" s="309"/>
      <c r="P550" s="309"/>
      <c r="Q550" s="309"/>
      <c r="R550" s="309"/>
      <c r="S550" s="309"/>
      <c r="T550" s="309"/>
      <c r="U550" s="309"/>
      <c r="V550" s="309"/>
      <c r="W550" s="309"/>
      <c r="X550" s="309"/>
      <c r="Y550" s="309"/>
      <c r="Z550" s="309"/>
      <c r="AA550" s="309"/>
      <c r="AB550" s="309"/>
      <c r="AC550" s="309"/>
    </row>
    <row r="551" spans="1:29" ht="12.75" customHeight="1">
      <c r="A551" s="309"/>
      <c r="B551" s="309"/>
      <c r="C551" s="309"/>
      <c r="D551" s="309"/>
      <c r="E551" s="309"/>
      <c r="F551" s="309"/>
      <c r="G551" s="309"/>
      <c r="H551" s="309"/>
      <c r="I551" s="309"/>
      <c r="J551" s="309"/>
      <c r="K551" s="310"/>
      <c r="L551" s="309"/>
      <c r="M551" s="309"/>
      <c r="N551" s="309"/>
      <c r="O551" s="309"/>
      <c r="P551" s="309"/>
      <c r="Q551" s="309"/>
      <c r="R551" s="309"/>
      <c r="S551" s="309"/>
      <c r="T551" s="309"/>
      <c r="U551" s="309"/>
      <c r="V551" s="309"/>
      <c r="W551" s="309"/>
      <c r="X551" s="309"/>
      <c r="Y551" s="309"/>
      <c r="Z551" s="309"/>
      <c r="AA551" s="309"/>
      <c r="AB551" s="309"/>
      <c r="AC551" s="309"/>
    </row>
    <row r="552" spans="1:29" ht="12.75" customHeight="1">
      <c r="A552" s="309"/>
      <c r="B552" s="309"/>
      <c r="C552" s="309"/>
      <c r="D552" s="309"/>
      <c r="E552" s="309"/>
      <c r="F552" s="309"/>
      <c r="G552" s="309"/>
      <c r="H552" s="309"/>
      <c r="I552" s="309"/>
      <c r="J552" s="309"/>
      <c r="K552" s="310"/>
      <c r="L552" s="309"/>
      <c r="M552" s="309"/>
      <c r="N552" s="309"/>
      <c r="O552" s="309"/>
      <c r="P552" s="309"/>
      <c r="Q552" s="309"/>
      <c r="R552" s="309"/>
      <c r="S552" s="309"/>
      <c r="T552" s="309"/>
      <c r="U552" s="309"/>
      <c r="V552" s="309"/>
      <c r="W552" s="309"/>
      <c r="X552" s="309"/>
      <c r="Y552" s="309"/>
      <c r="Z552" s="309"/>
      <c r="AA552" s="309"/>
      <c r="AB552" s="309"/>
      <c r="AC552" s="309"/>
    </row>
    <row r="553" spans="1:29" ht="12.75" customHeight="1">
      <c r="A553" s="309"/>
      <c r="B553" s="309"/>
      <c r="C553" s="309"/>
      <c r="D553" s="309"/>
      <c r="E553" s="309"/>
      <c r="F553" s="309"/>
      <c r="G553" s="309"/>
      <c r="H553" s="309"/>
      <c r="I553" s="309"/>
      <c r="J553" s="309"/>
      <c r="K553" s="310"/>
      <c r="L553" s="309"/>
      <c r="M553" s="309"/>
      <c r="N553" s="309"/>
      <c r="O553" s="309"/>
      <c r="P553" s="309"/>
      <c r="Q553" s="309"/>
      <c r="R553" s="309"/>
      <c r="S553" s="309"/>
      <c r="T553" s="309"/>
      <c r="U553" s="309"/>
      <c r="V553" s="309"/>
      <c r="W553" s="309"/>
      <c r="X553" s="309"/>
      <c r="Y553" s="309"/>
      <c r="Z553" s="309"/>
      <c r="AA553" s="309"/>
      <c r="AB553" s="309"/>
      <c r="AC553" s="309"/>
    </row>
    <row r="554" spans="1:29" ht="12.75" customHeight="1">
      <c r="A554" s="309"/>
      <c r="B554" s="309"/>
      <c r="C554" s="309"/>
      <c r="D554" s="309"/>
      <c r="E554" s="309"/>
      <c r="F554" s="309"/>
      <c r="G554" s="309"/>
      <c r="H554" s="309"/>
      <c r="I554" s="309"/>
      <c r="J554" s="309"/>
      <c r="K554" s="310"/>
      <c r="L554" s="309"/>
      <c r="M554" s="309"/>
      <c r="N554" s="309"/>
      <c r="O554" s="309"/>
      <c r="P554" s="309"/>
      <c r="Q554" s="309"/>
      <c r="R554" s="309"/>
      <c r="S554" s="309"/>
      <c r="T554" s="309"/>
      <c r="U554" s="309"/>
      <c r="V554" s="309"/>
      <c r="W554" s="309"/>
      <c r="X554" s="309"/>
      <c r="Y554" s="309"/>
      <c r="Z554" s="309"/>
      <c r="AA554" s="309"/>
      <c r="AB554" s="309"/>
      <c r="AC554" s="309"/>
    </row>
    <row r="555" spans="1:29" ht="12.75" customHeight="1">
      <c r="A555" s="309"/>
      <c r="B555" s="309"/>
      <c r="C555" s="309"/>
      <c r="D555" s="309"/>
      <c r="E555" s="309"/>
      <c r="F555" s="309"/>
      <c r="G555" s="309"/>
      <c r="H555" s="309"/>
      <c r="I555" s="309"/>
      <c r="J555" s="309"/>
      <c r="K555" s="310"/>
      <c r="L555" s="309"/>
      <c r="M555" s="309"/>
      <c r="N555" s="309"/>
      <c r="O555" s="309"/>
      <c r="P555" s="309"/>
      <c r="Q555" s="309"/>
      <c r="R555" s="309"/>
      <c r="S555" s="309"/>
      <c r="T555" s="309"/>
      <c r="U555" s="309"/>
      <c r="V555" s="309"/>
      <c r="W555" s="309"/>
      <c r="X555" s="309"/>
      <c r="Y555" s="309"/>
      <c r="Z555" s="309"/>
      <c r="AA555" s="309"/>
      <c r="AB555" s="309"/>
      <c r="AC555" s="309"/>
    </row>
    <row r="556" spans="1:29" ht="12.75" customHeight="1">
      <c r="A556" s="309"/>
      <c r="B556" s="309"/>
      <c r="C556" s="309"/>
      <c r="D556" s="309"/>
      <c r="E556" s="309"/>
      <c r="F556" s="309"/>
      <c r="G556" s="309"/>
      <c r="H556" s="309"/>
      <c r="I556" s="309"/>
      <c r="J556" s="309"/>
      <c r="K556" s="310"/>
      <c r="L556" s="309"/>
      <c r="M556" s="309"/>
      <c r="N556" s="309"/>
      <c r="O556" s="309"/>
      <c r="P556" s="309"/>
      <c r="Q556" s="309"/>
      <c r="R556" s="309"/>
      <c r="S556" s="309"/>
      <c r="T556" s="309"/>
      <c r="U556" s="309"/>
      <c r="V556" s="309"/>
      <c r="W556" s="309"/>
      <c r="X556" s="309"/>
      <c r="Y556" s="309"/>
      <c r="Z556" s="309"/>
      <c r="AA556" s="309"/>
      <c r="AB556" s="309"/>
      <c r="AC556" s="309"/>
    </row>
    <row r="557" spans="1:29" ht="12.75" customHeight="1">
      <c r="A557" s="309"/>
      <c r="B557" s="309"/>
      <c r="C557" s="309"/>
      <c r="D557" s="309"/>
      <c r="E557" s="309"/>
      <c r="F557" s="309"/>
      <c r="G557" s="309"/>
      <c r="H557" s="309"/>
      <c r="I557" s="309"/>
      <c r="J557" s="309"/>
      <c r="K557" s="310"/>
      <c r="L557" s="309"/>
      <c r="M557" s="309"/>
      <c r="N557" s="309"/>
      <c r="O557" s="309"/>
      <c r="P557" s="309"/>
      <c r="Q557" s="309"/>
      <c r="R557" s="309"/>
      <c r="S557" s="309"/>
      <c r="T557" s="309"/>
      <c r="U557" s="309"/>
      <c r="V557" s="309"/>
      <c r="W557" s="309"/>
      <c r="X557" s="309"/>
      <c r="Y557" s="309"/>
      <c r="Z557" s="309"/>
      <c r="AA557" s="309"/>
      <c r="AB557" s="309"/>
      <c r="AC557" s="309"/>
    </row>
    <row r="558" spans="1:29" ht="12.75" customHeight="1">
      <c r="A558" s="309"/>
      <c r="B558" s="309"/>
      <c r="C558" s="309"/>
      <c r="D558" s="309"/>
      <c r="E558" s="309"/>
      <c r="F558" s="309"/>
      <c r="G558" s="309"/>
      <c r="H558" s="309"/>
      <c r="I558" s="309"/>
      <c r="J558" s="309"/>
      <c r="K558" s="310"/>
      <c r="L558" s="309"/>
      <c r="M558" s="309"/>
      <c r="N558" s="309"/>
      <c r="O558" s="309"/>
      <c r="P558" s="309"/>
      <c r="Q558" s="309"/>
      <c r="R558" s="309"/>
      <c r="S558" s="309"/>
      <c r="T558" s="309"/>
      <c r="U558" s="309"/>
      <c r="V558" s="309"/>
      <c r="W558" s="309"/>
      <c r="X558" s="309"/>
      <c r="Y558" s="309"/>
      <c r="Z558" s="309"/>
      <c r="AA558" s="309"/>
      <c r="AB558" s="309"/>
      <c r="AC558" s="309"/>
    </row>
    <row r="559" spans="1:29" ht="12.75" customHeight="1">
      <c r="A559" s="309"/>
      <c r="B559" s="309"/>
      <c r="C559" s="309"/>
      <c r="D559" s="309"/>
      <c r="E559" s="309"/>
      <c r="F559" s="309"/>
      <c r="G559" s="309"/>
      <c r="H559" s="309"/>
      <c r="I559" s="309"/>
      <c r="J559" s="309"/>
      <c r="K559" s="310"/>
      <c r="L559" s="309"/>
      <c r="M559" s="309"/>
      <c r="N559" s="309"/>
      <c r="O559" s="309"/>
      <c r="P559" s="309"/>
      <c r="Q559" s="309"/>
      <c r="R559" s="309"/>
      <c r="S559" s="309"/>
      <c r="T559" s="309"/>
      <c r="U559" s="309"/>
      <c r="V559" s="309"/>
      <c r="W559" s="309"/>
      <c r="X559" s="309"/>
      <c r="Y559" s="309"/>
      <c r="Z559" s="309"/>
      <c r="AA559" s="309"/>
      <c r="AB559" s="309"/>
      <c r="AC559" s="309"/>
    </row>
    <row r="560" spans="1:29" ht="12.75" customHeight="1">
      <c r="A560" s="309"/>
      <c r="B560" s="309"/>
      <c r="C560" s="309"/>
      <c r="D560" s="309"/>
      <c r="E560" s="309"/>
      <c r="F560" s="309"/>
      <c r="G560" s="309"/>
      <c r="H560" s="309"/>
      <c r="I560" s="309"/>
      <c r="J560" s="309"/>
      <c r="K560" s="310"/>
      <c r="L560" s="309"/>
      <c r="M560" s="309"/>
      <c r="N560" s="309"/>
      <c r="O560" s="309"/>
      <c r="P560" s="309"/>
      <c r="Q560" s="309"/>
      <c r="R560" s="309"/>
      <c r="S560" s="309"/>
      <c r="T560" s="309"/>
      <c r="U560" s="309"/>
      <c r="V560" s="309"/>
      <c r="W560" s="309"/>
      <c r="X560" s="309"/>
      <c r="Y560" s="309"/>
      <c r="Z560" s="309"/>
      <c r="AA560" s="309"/>
      <c r="AB560" s="309"/>
      <c r="AC560" s="309"/>
    </row>
    <row r="561" spans="1:29" ht="12.75" customHeight="1">
      <c r="A561" s="309"/>
      <c r="B561" s="309"/>
      <c r="C561" s="309"/>
      <c r="D561" s="309"/>
      <c r="E561" s="309"/>
      <c r="F561" s="309"/>
      <c r="G561" s="309"/>
      <c r="H561" s="309"/>
      <c r="I561" s="309"/>
      <c r="J561" s="309"/>
      <c r="K561" s="310"/>
      <c r="L561" s="309"/>
      <c r="M561" s="309"/>
      <c r="N561" s="309"/>
      <c r="O561" s="309"/>
      <c r="P561" s="309"/>
      <c r="Q561" s="309"/>
      <c r="R561" s="309"/>
      <c r="S561" s="309"/>
      <c r="T561" s="309"/>
      <c r="U561" s="309"/>
      <c r="V561" s="309"/>
      <c r="W561" s="309"/>
      <c r="X561" s="309"/>
      <c r="Y561" s="309"/>
      <c r="Z561" s="309"/>
      <c r="AA561" s="309"/>
      <c r="AB561" s="309"/>
      <c r="AC561" s="309"/>
    </row>
    <row r="562" spans="1:29" ht="12.75" customHeight="1">
      <c r="A562" s="309"/>
      <c r="B562" s="309"/>
      <c r="C562" s="309"/>
      <c r="D562" s="309"/>
      <c r="E562" s="309"/>
      <c r="F562" s="309"/>
      <c r="G562" s="309"/>
      <c r="H562" s="309"/>
      <c r="I562" s="309"/>
      <c r="J562" s="309"/>
      <c r="K562" s="310"/>
      <c r="L562" s="309"/>
      <c r="M562" s="309"/>
      <c r="N562" s="309"/>
      <c r="O562" s="309"/>
      <c r="P562" s="309"/>
      <c r="Q562" s="309"/>
      <c r="R562" s="309"/>
      <c r="S562" s="309"/>
      <c r="T562" s="309"/>
      <c r="U562" s="309"/>
      <c r="V562" s="309"/>
      <c r="W562" s="309"/>
      <c r="X562" s="309"/>
      <c r="Y562" s="309"/>
      <c r="Z562" s="309"/>
      <c r="AA562" s="309"/>
      <c r="AB562" s="309"/>
      <c r="AC562" s="309"/>
    </row>
    <row r="563" spans="1:29" ht="12.75" customHeight="1">
      <c r="A563" s="309"/>
      <c r="B563" s="309"/>
      <c r="C563" s="309"/>
      <c r="D563" s="309"/>
      <c r="E563" s="309"/>
      <c r="F563" s="309"/>
      <c r="G563" s="309"/>
      <c r="H563" s="309"/>
      <c r="I563" s="309"/>
      <c r="J563" s="309"/>
      <c r="K563" s="310"/>
      <c r="L563" s="309"/>
      <c r="M563" s="309"/>
      <c r="N563" s="309"/>
      <c r="O563" s="309"/>
      <c r="P563" s="309"/>
      <c r="Q563" s="309"/>
      <c r="R563" s="309"/>
      <c r="S563" s="309"/>
      <c r="T563" s="309"/>
      <c r="U563" s="309"/>
      <c r="V563" s="309"/>
      <c r="W563" s="309"/>
      <c r="X563" s="309"/>
      <c r="Y563" s="309"/>
      <c r="Z563" s="309"/>
      <c r="AA563" s="309"/>
      <c r="AB563" s="309"/>
      <c r="AC563" s="309"/>
    </row>
    <row r="564" spans="1:29" ht="12.75" customHeight="1">
      <c r="A564" s="309"/>
      <c r="B564" s="309"/>
      <c r="C564" s="309"/>
      <c r="D564" s="309"/>
      <c r="E564" s="309"/>
      <c r="F564" s="309"/>
      <c r="G564" s="309"/>
      <c r="H564" s="309"/>
      <c r="I564" s="309"/>
      <c r="J564" s="309"/>
      <c r="K564" s="310"/>
      <c r="L564" s="309"/>
      <c r="M564" s="309"/>
      <c r="N564" s="309"/>
      <c r="O564" s="309"/>
      <c r="P564" s="309"/>
      <c r="Q564" s="309"/>
      <c r="R564" s="309"/>
      <c r="S564" s="309"/>
      <c r="T564" s="309"/>
      <c r="U564" s="309"/>
      <c r="V564" s="309"/>
      <c r="W564" s="309"/>
      <c r="X564" s="309"/>
      <c r="Y564" s="309"/>
      <c r="Z564" s="309"/>
      <c r="AA564" s="309"/>
      <c r="AB564" s="309"/>
      <c r="AC564" s="309"/>
    </row>
    <row r="565" spans="1:29" ht="12.75" customHeight="1">
      <c r="A565" s="309"/>
      <c r="B565" s="309"/>
      <c r="C565" s="309"/>
      <c r="D565" s="309"/>
      <c r="E565" s="309"/>
      <c r="F565" s="309"/>
      <c r="G565" s="309"/>
      <c r="H565" s="309"/>
      <c r="I565" s="309"/>
      <c r="J565" s="309"/>
      <c r="K565" s="310"/>
      <c r="L565" s="309"/>
      <c r="M565" s="309"/>
      <c r="N565" s="309"/>
      <c r="O565" s="309"/>
      <c r="P565" s="309"/>
      <c r="Q565" s="309"/>
      <c r="R565" s="309"/>
      <c r="S565" s="309"/>
      <c r="T565" s="309"/>
      <c r="U565" s="309"/>
      <c r="V565" s="309"/>
      <c r="W565" s="309"/>
      <c r="X565" s="309"/>
      <c r="Y565" s="309"/>
      <c r="Z565" s="309"/>
      <c r="AA565" s="309"/>
      <c r="AB565" s="309"/>
      <c r="AC565" s="309"/>
    </row>
    <row r="566" spans="1:29" ht="12.75" customHeight="1">
      <c r="A566" s="309"/>
      <c r="B566" s="309"/>
      <c r="C566" s="309"/>
      <c r="D566" s="309"/>
      <c r="E566" s="309"/>
      <c r="F566" s="309"/>
      <c r="G566" s="309"/>
      <c r="H566" s="309"/>
      <c r="I566" s="309"/>
      <c r="J566" s="309"/>
      <c r="K566" s="310"/>
      <c r="L566" s="309"/>
      <c r="M566" s="309"/>
      <c r="N566" s="309"/>
      <c r="O566" s="309"/>
      <c r="P566" s="309"/>
      <c r="Q566" s="309"/>
      <c r="R566" s="309"/>
      <c r="S566" s="309"/>
      <c r="T566" s="309"/>
      <c r="U566" s="309"/>
      <c r="V566" s="309"/>
      <c r="W566" s="309"/>
      <c r="X566" s="309"/>
      <c r="Y566" s="309"/>
      <c r="Z566" s="309"/>
      <c r="AA566" s="309"/>
      <c r="AB566" s="309"/>
      <c r="AC566" s="309"/>
    </row>
    <row r="567" spans="1:29" ht="12.75" customHeight="1">
      <c r="A567" s="309"/>
      <c r="B567" s="309"/>
      <c r="C567" s="309"/>
      <c r="D567" s="309"/>
      <c r="E567" s="309"/>
      <c r="F567" s="309"/>
      <c r="G567" s="309"/>
      <c r="H567" s="309"/>
      <c r="I567" s="309"/>
      <c r="J567" s="309"/>
      <c r="K567" s="310"/>
      <c r="L567" s="309"/>
      <c r="M567" s="309"/>
      <c r="N567" s="309"/>
      <c r="O567" s="309"/>
      <c r="P567" s="309"/>
      <c r="Q567" s="309"/>
      <c r="R567" s="309"/>
      <c r="S567" s="309"/>
      <c r="T567" s="309"/>
      <c r="U567" s="309"/>
      <c r="V567" s="309"/>
      <c r="W567" s="309"/>
      <c r="X567" s="309"/>
      <c r="Y567" s="309"/>
      <c r="Z567" s="309"/>
      <c r="AA567" s="309"/>
      <c r="AB567" s="309"/>
      <c r="AC567" s="309"/>
    </row>
    <row r="568" spans="1:29" ht="12.75" customHeight="1">
      <c r="A568" s="309"/>
      <c r="B568" s="309"/>
      <c r="C568" s="309"/>
      <c r="D568" s="309"/>
      <c r="E568" s="309"/>
      <c r="F568" s="309"/>
      <c r="G568" s="309"/>
      <c r="H568" s="309"/>
      <c r="I568" s="309"/>
      <c r="J568" s="309"/>
      <c r="K568" s="310"/>
      <c r="L568" s="309"/>
      <c r="M568" s="309"/>
      <c r="N568" s="309"/>
      <c r="O568" s="309"/>
      <c r="P568" s="309"/>
      <c r="Q568" s="309"/>
      <c r="R568" s="309"/>
      <c r="S568" s="309"/>
      <c r="T568" s="309"/>
      <c r="U568" s="309"/>
      <c r="V568" s="309"/>
      <c r="W568" s="309"/>
      <c r="X568" s="309"/>
      <c r="Y568" s="309"/>
      <c r="Z568" s="309"/>
      <c r="AA568" s="309"/>
      <c r="AB568" s="309"/>
      <c r="AC568" s="309"/>
    </row>
    <row r="569" spans="1:29" ht="12.75" customHeight="1">
      <c r="A569" s="309"/>
      <c r="B569" s="309"/>
      <c r="C569" s="309"/>
      <c r="D569" s="309"/>
      <c r="E569" s="309"/>
      <c r="F569" s="309"/>
      <c r="G569" s="309"/>
      <c r="H569" s="309"/>
      <c r="I569" s="309"/>
      <c r="J569" s="309"/>
      <c r="K569" s="310"/>
      <c r="L569" s="309"/>
      <c r="M569" s="309"/>
      <c r="N569" s="309"/>
      <c r="O569" s="309"/>
      <c r="P569" s="309"/>
      <c r="Q569" s="309"/>
      <c r="R569" s="309"/>
      <c r="S569" s="309"/>
      <c r="T569" s="309"/>
      <c r="U569" s="309"/>
      <c r="V569" s="309"/>
      <c r="W569" s="309"/>
      <c r="X569" s="309"/>
      <c r="Y569" s="309"/>
      <c r="Z569" s="309"/>
      <c r="AA569" s="309"/>
      <c r="AB569" s="309"/>
      <c r="AC569" s="309"/>
    </row>
    <row r="570" spans="1:29" ht="12.75" customHeight="1">
      <c r="A570" s="309"/>
      <c r="B570" s="309"/>
      <c r="C570" s="309"/>
      <c r="D570" s="309"/>
      <c r="E570" s="309"/>
      <c r="F570" s="309"/>
      <c r="G570" s="309"/>
      <c r="H570" s="309"/>
      <c r="I570" s="309"/>
      <c r="J570" s="309"/>
      <c r="K570" s="310"/>
      <c r="L570" s="309"/>
      <c r="M570" s="309"/>
      <c r="N570" s="309"/>
      <c r="O570" s="309"/>
      <c r="P570" s="309"/>
      <c r="Q570" s="309"/>
      <c r="R570" s="309"/>
      <c r="S570" s="309"/>
      <c r="T570" s="309"/>
      <c r="U570" s="309"/>
      <c r="V570" s="309"/>
      <c r="W570" s="309"/>
      <c r="X570" s="309"/>
      <c r="Y570" s="309"/>
      <c r="Z570" s="309"/>
      <c r="AA570" s="309"/>
      <c r="AB570" s="309"/>
      <c r="AC570" s="309"/>
    </row>
    <row r="571" spans="1:29" ht="12.75" customHeight="1">
      <c r="A571" s="309"/>
      <c r="B571" s="309"/>
      <c r="C571" s="309"/>
      <c r="D571" s="309"/>
      <c r="E571" s="309"/>
      <c r="F571" s="309"/>
      <c r="G571" s="309"/>
      <c r="H571" s="309"/>
      <c r="I571" s="309"/>
      <c r="J571" s="309"/>
      <c r="K571" s="310"/>
      <c r="L571" s="309"/>
      <c r="M571" s="309"/>
      <c r="N571" s="309"/>
      <c r="O571" s="309"/>
      <c r="P571" s="309"/>
      <c r="Q571" s="309"/>
      <c r="R571" s="309"/>
      <c r="S571" s="309"/>
      <c r="T571" s="309"/>
      <c r="U571" s="309"/>
      <c r="V571" s="309"/>
      <c r="W571" s="309"/>
      <c r="X571" s="309"/>
      <c r="Y571" s="309"/>
      <c r="Z571" s="309"/>
      <c r="AA571" s="309"/>
      <c r="AB571" s="309"/>
      <c r="AC571" s="309"/>
    </row>
    <row r="572" spans="1:29" ht="12.75" customHeight="1">
      <c r="A572" s="309"/>
      <c r="B572" s="309"/>
      <c r="C572" s="309"/>
      <c r="D572" s="309"/>
      <c r="E572" s="309"/>
      <c r="F572" s="309"/>
      <c r="G572" s="309"/>
      <c r="H572" s="309"/>
      <c r="I572" s="309"/>
      <c r="J572" s="309"/>
      <c r="K572" s="310"/>
      <c r="L572" s="309"/>
      <c r="M572" s="309"/>
      <c r="N572" s="309"/>
      <c r="O572" s="309"/>
      <c r="P572" s="309"/>
      <c r="Q572" s="309"/>
      <c r="R572" s="309"/>
      <c r="S572" s="309"/>
      <c r="T572" s="309"/>
      <c r="U572" s="309"/>
      <c r="V572" s="309"/>
      <c r="W572" s="309"/>
      <c r="X572" s="309"/>
      <c r="Y572" s="309"/>
      <c r="Z572" s="309"/>
      <c r="AA572" s="309"/>
      <c r="AB572" s="309"/>
      <c r="AC572" s="309"/>
    </row>
    <row r="573" spans="1:29" ht="12.75" customHeight="1">
      <c r="A573" s="309"/>
      <c r="B573" s="309"/>
      <c r="C573" s="309"/>
      <c r="D573" s="309"/>
      <c r="E573" s="309"/>
      <c r="F573" s="309"/>
      <c r="G573" s="309"/>
      <c r="H573" s="309"/>
      <c r="I573" s="309"/>
      <c r="J573" s="309"/>
      <c r="K573" s="310"/>
      <c r="L573" s="309"/>
      <c r="M573" s="309"/>
      <c r="N573" s="309"/>
      <c r="O573" s="309"/>
      <c r="P573" s="309"/>
      <c r="Q573" s="309"/>
      <c r="R573" s="309"/>
      <c r="S573" s="309"/>
      <c r="T573" s="309"/>
      <c r="U573" s="309"/>
      <c r="V573" s="309"/>
      <c r="W573" s="309"/>
      <c r="X573" s="309"/>
      <c r="Y573" s="309"/>
      <c r="Z573" s="309"/>
      <c r="AA573" s="309"/>
      <c r="AB573" s="309"/>
      <c r="AC573" s="309"/>
    </row>
    <row r="574" spans="1:29" ht="12.75" customHeight="1">
      <c r="A574" s="309"/>
      <c r="B574" s="309"/>
      <c r="C574" s="309"/>
      <c r="D574" s="309"/>
      <c r="E574" s="309"/>
      <c r="F574" s="309"/>
      <c r="G574" s="309"/>
      <c r="H574" s="309"/>
      <c r="I574" s="309"/>
      <c r="J574" s="309"/>
      <c r="K574" s="310"/>
      <c r="L574" s="309"/>
      <c r="M574" s="309"/>
      <c r="N574" s="309"/>
      <c r="O574" s="309"/>
      <c r="P574" s="309"/>
      <c r="Q574" s="309"/>
      <c r="R574" s="309"/>
      <c r="S574" s="309"/>
      <c r="T574" s="309"/>
      <c r="U574" s="309"/>
      <c r="V574" s="309"/>
      <c r="W574" s="309"/>
      <c r="X574" s="309"/>
      <c r="Y574" s="309"/>
      <c r="Z574" s="309"/>
      <c r="AA574" s="309"/>
      <c r="AB574" s="309"/>
      <c r="AC574" s="309"/>
    </row>
    <row r="575" spans="1:29" ht="12.75" customHeight="1">
      <c r="A575" s="309"/>
      <c r="B575" s="309"/>
      <c r="C575" s="309"/>
      <c r="D575" s="309"/>
      <c r="E575" s="309"/>
      <c r="F575" s="309"/>
      <c r="G575" s="309"/>
      <c r="H575" s="309"/>
      <c r="I575" s="309"/>
      <c r="J575" s="309"/>
      <c r="K575" s="310"/>
      <c r="L575" s="309"/>
      <c r="M575" s="309"/>
      <c r="N575" s="309"/>
      <c r="O575" s="309"/>
      <c r="P575" s="309"/>
      <c r="Q575" s="309"/>
      <c r="R575" s="309"/>
      <c r="S575" s="309"/>
      <c r="T575" s="309"/>
      <c r="U575" s="309"/>
      <c r="V575" s="309"/>
      <c r="W575" s="309"/>
      <c r="X575" s="309"/>
      <c r="Y575" s="309"/>
      <c r="Z575" s="309"/>
      <c r="AA575" s="309"/>
      <c r="AB575" s="309"/>
      <c r="AC575" s="309"/>
    </row>
    <row r="576" spans="1:29" ht="12.75" customHeight="1">
      <c r="A576" s="309"/>
      <c r="B576" s="309"/>
      <c r="C576" s="309"/>
      <c r="D576" s="309"/>
      <c r="E576" s="309"/>
      <c r="F576" s="309"/>
      <c r="G576" s="309"/>
      <c r="H576" s="309"/>
      <c r="I576" s="309"/>
      <c r="J576" s="309"/>
      <c r="K576" s="310"/>
      <c r="L576" s="309"/>
      <c r="M576" s="309"/>
      <c r="N576" s="309"/>
      <c r="O576" s="309"/>
      <c r="P576" s="309"/>
      <c r="Q576" s="309"/>
      <c r="R576" s="309"/>
      <c r="S576" s="309"/>
      <c r="T576" s="309"/>
      <c r="U576" s="309"/>
      <c r="V576" s="309"/>
      <c r="W576" s="309"/>
      <c r="X576" s="309"/>
      <c r="Y576" s="309"/>
      <c r="Z576" s="309"/>
      <c r="AA576" s="309"/>
      <c r="AB576" s="309"/>
      <c r="AC576" s="309"/>
    </row>
    <row r="577" spans="1:29" ht="12.75" customHeight="1">
      <c r="A577" s="309"/>
      <c r="B577" s="309"/>
      <c r="C577" s="309"/>
      <c r="D577" s="309"/>
      <c r="E577" s="309"/>
      <c r="F577" s="309"/>
      <c r="G577" s="309"/>
      <c r="H577" s="309"/>
      <c r="I577" s="309"/>
      <c r="J577" s="309"/>
      <c r="K577" s="310"/>
      <c r="L577" s="309"/>
      <c r="M577" s="309"/>
      <c r="N577" s="309"/>
      <c r="O577" s="309"/>
      <c r="P577" s="309"/>
      <c r="Q577" s="309"/>
      <c r="R577" s="309"/>
      <c r="S577" s="309"/>
      <c r="T577" s="309"/>
      <c r="U577" s="309"/>
      <c r="V577" s="309"/>
      <c r="W577" s="309"/>
      <c r="X577" s="309"/>
      <c r="Y577" s="309"/>
      <c r="Z577" s="309"/>
      <c r="AA577" s="309"/>
      <c r="AB577" s="309"/>
      <c r="AC577" s="309"/>
    </row>
    <row r="578" spans="1:29" ht="12.75" customHeight="1">
      <c r="A578" s="309"/>
      <c r="B578" s="309"/>
      <c r="C578" s="309"/>
      <c r="D578" s="309"/>
      <c r="E578" s="309"/>
      <c r="F578" s="309"/>
      <c r="G578" s="309"/>
      <c r="H578" s="309"/>
      <c r="I578" s="309"/>
      <c r="J578" s="309"/>
      <c r="K578" s="310"/>
      <c r="L578" s="309"/>
      <c r="M578" s="309"/>
      <c r="N578" s="309"/>
      <c r="O578" s="309"/>
      <c r="P578" s="309"/>
      <c r="Q578" s="309"/>
      <c r="R578" s="309"/>
      <c r="S578" s="309"/>
      <c r="T578" s="309"/>
      <c r="U578" s="309"/>
      <c r="V578" s="309"/>
      <c r="W578" s="309"/>
      <c r="X578" s="309"/>
      <c r="Y578" s="309"/>
      <c r="Z578" s="309"/>
      <c r="AA578" s="309"/>
      <c r="AB578" s="309"/>
      <c r="AC578" s="309"/>
    </row>
    <row r="579" spans="1:29" ht="12.75" customHeight="1">
      <c r="A579" s="309"/>
      <c r="B579" s="309"/>
      <c r="C579" s="309"/>
      <c r="D579" s="309"/>
      <c r="E579" s="309"/>
      <c r="F579" s="309"/>
      <c r="G579" s="309"/>
      <c r="H579" s="309"/>
      <c r="I579" s="309"/>
      <c r="J579" s="309"/>
      <c r="K579" s="310"/>
      <c r="L579" s="309"/>
      <c r="M579" s="309"/>
      <c r="N579" s="309"/>
      <c r="O579" s="309"/>
      <c r="P579" s="309"/>
      <c r="Q579" s="309"/>
      <c r="R579" s="309"/>
      <c r="S579" s="309"/>
      <c r="T579" s="309"/>
      <c r="U579" s="309"/>
      <c r="V579" s="309"/>
      <c r="W579" s="309"/>
      <c r="X579" s="309"/>
      <c r="Y579" s="309"/>
      <c r="Z579" s="309"/>
      <c r="AA579" s="309"/>
      <c r="AB579" s="309"/>
      <c r="AC579" s="309"/>
    </row>
    <row r="580" spans="1:29" ht="12.75" customHeight="1">
      <c r="A580" s="309"/>
      <c r="B580" s="309"/>
      <c r="C580" s="309"/>
      <c r="D580" s="309"/>
      <c r="E580" s="309"/>
      <c r="F580" s="309"/>
      <c r="G580" s="309"/>
      <c r="H580" s="309"/>
      <c r="I580" s="309"/>
      <c r="J580" s="309"/>
      <c r="K580" s="310"/>
      <c r="L580" s="309"/>
      <c r="M580" s="309"/>
      <c r="N580" s="309"/>
      <c r="O580" s="309"/>
      <c r="P580" s="309"/>
      <c r="Q580" s="309"/>
      <c r="R580" s="309"/>
      <c r="S580" s="309"/>
      <c r="T580" s="309"/>
      <c r="U580" s="309"/>
      <c r="V580" s="309"/>
      <c r="W580" s="309"/>
      <c r="X580" s="309"/>
      <c r="Y580" s="309"/>
      <c r="Z580" s="309"/>
      <c r="AA580" s="309"/>
      <c r="AB580" s="309"/>
      <c r="AC580" s="309"/>
    </row>
    <row r="581" spans="1:29" ht="12.75" customHeight="1">
      <c r="A581" s="309"/>
      <c r="B581" s="309"/>
      <c r="C581" s="309"/>
      <c r="D581" s="309"/>
      <c r="E581" s="309"/>
      <c r="F581" s="309"/>
      <c r="G581" s="309"/>
      <c r="H581" s="309"/>
      <c r="I581" s="309"/>
      <c r="J581" s="309"/>
      <c r="K581" s="310"/>
      <c r="L581" s="309"/>
      <c r="M581" s="309"/>
      <c r="N581" s="309"/>
      <c r="O581" s="309"/>
      <c r="P581" s="309"/>
      <c r="Q581" s="309"/>
      <c r="R581" s="309"/>
      <c r="S581" s="309"/>
      <c r="T581" s="309"/>
      <c r="U581" s="309"/>
      <c r="V581" s="309"/>
      <c r="W581" s="309"/>
      <c r="X581" s="309"/>
      <c r="Y581" s="309"/>
      <c r="Z581" s="309"/>
      <c r="AA581" s="309"/>
      <c r="AB581" s="309"/>
      <c r="AC581" s="309"/>
    </row>
    <row r="582" spans="1:29" ht="12.75" customHeight="1">
      <c r="A582" s="309"/>
      <c r="B582" s="309"/>
      <c r="C582" s="309"/>
      <c r="D582" s="309"/>
      <c r="E582" s="309"/>
      <c r="F582" s="309"/>
      <c r="G582" s="309"/>
      <c r="H582" s="309"/>
      <c r="I582" s="309"/>
      <c r="J582" s="309"/>
      <c r="K582" s="310"/>
      <c r="L582" s="309"/>
      <c r="M582" s="309"/>
      <c r="N582" s="309"/>
      <c r="O582" s="309"/>
      <c r="P582" s="309"/>
      <c r="Q582" s="309"/>
      <c r="R582" s="309"/>
      <c r="S582" s="309"/>
      <c r="T582" s="309"/>
      <c r="U582" s="309"/>
      <c r="V582" s="309"/>
      <c r="W582" s="309"/>
      <c r="X582" s="309"/>
      <c r="Y582" s="309"/>
      <c r="Z582" s="309"/>
      <c r="AA582" s="309"/>
      <c r="AB582" s="309"/>
      <c r="AC582" s="309"/>
    </row>
    <row r="583" spans="1:29" ht="12.75" customHeight="1">
      <c r="A583" s="309"/>
      <c r="B583" s="309"/>
      <c r="C583" s="309"/>
      <c r="D583" s="309"/>
      <c r="E583" s="309"/>
      <c r="F583" s="309"/>
      <c r="G583" s="309"/>
      <c r="H583" s="309"/>
      <c r="I583" s="309"/>
      <c r="J583" s="309"/>
      <c r="K583" s="310"/>
      <c r="L583" s="309"/>
      <c r="M583" s="309"/>
      <c r="N583" s="309"/>
      <c r="O583" s="309"/>
      <c r="P583" s="309"/>
      <c r="Q583" s="309"/>
      <c r="R583" s="309"/>
      <c r="S583" s="309"/>
      <c r="T583" s="309"/>
      <c r="U583" s="309"/>
      <c r="V583" s="309"/>
      <c r="W583" s="309"/>
      <c r="X583" s="309"/>
      <c r="Y583" s="309"/>
      <c r="Z583" s="309"/>
      <c r="AA583" s="309"/>
      <c r="AB583" s="309"/>
      <c r="AC583" s="309"/>
    </row>
    <row r="584" spans="1:29" ht="12.75" customHeight="1">
      <c r="A584" s="309"/>
      <c r="B584" s="309"/>
      <c r="C584" s="309"/>
      <c r="D584" s="309"/>
      <c r="E584" s="309"/>
      <c r="F584" s="309"/>
      <c r="G584" s="309"/>
      <c r="H584" s="309"/>
      <c r="I584" s="309"/>
      <c r="J584" s="309"/>
      <c r="K584" s="310"/>
      <c r="L584" s="309"/>
      <c r="M584" s="309"/>
      <c r="N584" s="309"/>
      <c r="O584" s="309"/>
      <c r="P584" s="309"/>
      <c r="Q584" s="309"/>
      <c r="R584" s="309"/>
      <c r="S584" s="309"/>
      <c r="T584" s="309"/>
      <c r="U584" s="309"/>
      <c r="V584" s="309"/>
      <c r="W584" s="309"/>
      <c r="X584" s="309"/>
      <c r="Y584" s="309"/>
      <c r="Z584" s="309"/>
      <c r="AA584" s="309"/>
      <c r="AB584" s="309"/>
      <c r="AC584" s="309"/>
    </row>
    <row r="585" spans="1:29" ht="12.75" customHeight="1">
      <c r="A585" s="309"/>
      <c r="B585" s="309"/>
      <c r="C585" s="309"/>
      <c r="D585" s="309"/>
      <c r="E585" s="309"/>
      <c r="F585" s="309"/>
      <c r="G585" s="309"/>
      <c r="H585" s="309"/>
      <c r="I585" s="309"/>
      <c r="J585" s="309"/>
      <c r="K585" s="310"/>
      <c r="L585" s="309"/>
      <c r="M585" s="309"/>
      <c r="N585" s="309"/>
      <c r="O585" s="309"/>
      <c r="P585" s="309"/>
      <c r="Q585" s="309"/>
      <c r="R585" s="309"/>
      <c r="S585" s="309"/>
      <c r="T585" s="309"/>
      <c r="U585" s="309"/>
      <c r="V585" s="309"/>
      <c r="W585" s="309"/>
      <c r="X585" s="309"/>
      <c r="Y585" s="309"/>
      <c r="Z585" s="309"/>
      <c r="AA585" s="309"/>
      <c r="AB585" s="309"/>
      <c r="AC585" s="309"/>
    </row>
    <row r="586" spans="1:29" ht="12.75" customHeight="1">
      <c r="A586" s="309"/>
      <c r="B586" s="309"/>
      <c r="C586" s="309"/>
      <c r="D586" s="309"/>
      <c r="E586" s="309"/>
      <c r="F586" s="309"/>
      <c r="G586" s="309"/>
      <c r="H586" s="309"/>
      <c r="I586" s="309"/>
      <c r="J586" s="309"/>
      <c r="K586" s="310"/>
      <c r="L586" s="309"/>
      <c r="M586" s="309"/>
      <c r="N586" s="309"/>
      <c r="O586" s="309"/>
      <c r="P586" s="309"/>
      <c r="Q586" s="309"/>
      <c r="R586" s="309"/>
      <c r="S586" s="309"/>
      <c r="T586" s="309"/>
      <c r="U586" s="309"/>
      <c r="V586" s="309"/>
      <c r="W586" s="309"/>
      <c r="X586" s="309"/>
      <c r="Y586" s="309"/>
      <c r="Z586" s="309"/>
      <c r="AA586" s="309"/>
      <c r="AB586" s="309"/>
      <c r="AC586" s="309"/>
    </row>
    <row r="587" spans="1:29" ht="12.75" customHeight="1">
      <c r="A587" s="309"/>
      <c r="B587" s="309"/>
      <c r="C587" s="309"/>
      <c r="D587" s="309"/>
      <c r="E587" s="309"/>
      <c r="F587" s="309"/>
      <c r="G587" s="309"/>
      <c r="H587" s="309"/>
      <c r="I587" s="309"/>
      <c r="J587" s="309"/>
      <c r="K587" s="310"/>
      <c r="L587" s="309"/>
      <c r="M587" s="309"/>
      <c r="N587" s="309"/>
      <c r="O587" s="309"/>
      <c r="P587" s="309"/>
      <c r="Q587" s="309"/>
      <c r="R587" s="309"/>
      <c r="S587" s="309"/>
      <c r="T587" s="309"/>
      <c r="U587" s="309"/>
      <c r="V587" s="309"/>
      <c r="W587" s="309"/>
      <c r="X587" s="309"/>
      <c r="Y587" s="309"/>
      <c r="Z587" s="309"/>
      <c r="AA587" s="309"/>
      <c r="AB587" s="309"/>
      <c r="AC587" s="309"/>
    </row>
    <row r="588" spans="1:29" ht="12.75" customHeight="1">
      <c r="A588" s="309"/>
      <c r="B588" s="309"/>
      <c r="C588" s="309"/>
      <c r="D588" s="309"/>
      <c r="E588" s="309"/>
      <c r="F588" s="309"/>
      <c r="G588" s="309"/>
      <c r="H588" s="309"/>
      <c r="I588" s="309"/>
      <c r="J588" s="309"/>
      <c r="K588" s="310"/>
      <c r="L588" s="309"/>
      <c r="M588" s="309"/>
      <c r="N588" s="309"/>
      <c r="O588" s="309"/>
      <c r="P588" s="309"/>
      <c r="Q588" s="309"/>
      <c r="R588" s="309"/>
      <c r="S588" s="309"/>
      <c r="T588" s="309"/>
      <c r="U588" s="309"/>
      <c r="V588" s="309"/>
      <c r="W588" s="309"/>
      <c r="X588" s="309"/>
      <c r="Y588" s="309"/>
      <c r="Z588" s="309"/>
      <c r="AA588" s="309"/>
      <c r="AB588" s="309"/>
      <c r="AC588" s="309"/>
    </row>
    <row r="589" spans="1:29" ht="12.75" customHeight="1">
      <c r="A589" s="309"/>
      <c r="B589" s="309"/>
      <c r="C589" s="309"/>
      <c r="D589" s="309"/>
      <c r="E589" s="309"/>
      <c r="F589" s="309"/>
      <c r="G589" s="309"/>
      <c r="H589" s="309"/>
      <c r="I589" s="309"/>
      <c r="J589" s="309"/>
      <c r="K589" s="310"/>
      <c r="L589" s="309"/>
      <c r="M589" s="309"/>
      <c r="N589" s="309"/>
      <c r="O589" s="309"/>
      <c r="P589" s="309"/>
      <c r="Q589" s="309"/>
      <c r="R589" s="309"/>
      <c r="S589" s="309"/>
      <c r="T589" s="309"/>
      <c r="U589" s="309"/>
      <c r="V589" s="309"/>
      <c r="W589" s="309"/>
      <c r="X589" s="309"/>
      <c r="Y589" s="309"/>
      <c r="Z589" s="309"/>
      <c r="AA589" s="309"/>
      <c r="AB589" s="309"/>
      <c r="AC589" s="309"/>
    </row>
    <row r="590" spans="1:29" ht="12.75" customHeight="1">
      <c r="A590" s="309"/>
      <c r="B590" s="309"/>
      <c r="C590" s="309"/>
      <c r="D590" s="309"/>
      <c r="E590" s="309"/>
      <c r="F590" s="309"/>
      <c r="G590" s="309"/>
      <c r="H590" s="309"/>
      <c r="I590" s="309"/>
      <c r="J590" s="309"/>
      <c r="K590" s="310"/>
      <c r="L590" s="309"/>
      <c r="M590" s="309"/>
      <c r="N590" s="309"/>
      <c r="O590" s="309"/>
      <c r="P590" s="309"/>
      <c r="Q590" s="309"/>
      <c r="R590" s="309"/>
      <c r="S590" s="309"/>
      <c r="T590" s="309"/>
      <c r="U590" s="309"/>
      <c r="V590" s="309"/>
      <c r="W590" s="309"/>
      <c r="X590" s="309"/>
      <c r="Y590" s="309"/>
      <c r="Z590" s="309"/>
      <c r="AA590" s="309"/>
      <c r="AB590" s="309"/>
      <c r="AC590" s="309"/>
    </row>
    <row r="591" spans="1:29" ht="12.75" customHeight="1">
      <c r="A591" s="309"/>
      <c r="B591" s="309"/>
      <c r="C591" s="309"/>
      <c r="D591" s="309"/>
      <c r="E591" s="309"/>
      <c r="F591" s="309"/>
      <c r="G591" s="309"/>
      <c r="H591" s="309"/>
      <c r="I591" s="309"/>
      <c r="J591" s="309"/>
      <c r="K591" s="310"/>
      <c r="L591" s="309"/>
      <c r="M591" s="309"/>
      <c r="N591" s="309"/>
      <c r="O591" s="309"/>
      <c r="P591" s="309"/>
      <c r="Q591" s="309"/>
      <c r="R591" s="309"/>
      <c r="S591" s="309"/>
      <c r="T591" s="309"/>
      <c r="U591" s="309"/>
      <c r="V591" s="309"/>
      <c r="W591" s="309"/>
      <c r="X591" s="309"/>
      <c r="Y591" s="309"/>
      <c r="Z591" s="309"/>
      <c r="AA591" s="309"/>
      <c r="AB591" s="309"/>
      <c r="AC591" s="309"/>
    </row>
    <row r="592" spans="1:29" ht="12.75" customHeight="1">
      <c r="A592" s="309"/>
      <c r="B592" s="309"/>
      <c r="C592" s="309"/>
      <c r="D592" s="309"/>
      <c r="E592" s="309"/>
      <c r="F592" s="309"/>
      <c r="G592" s="309"/>
      <c r="H592" s="309"/>
      <c r="I592" s="309"/>
      <c r="J592" s="309"/>
      <c r="K592" s="310"/>
      <c r="L592" s="309"/>
      <c r="M592" s="309"/>
      <c r="N592" s="309"/>
      <c r="O592" s="309"/>
      <c r="P592" s="309"/>
      <c r="Q592" s="309"/>
      <c r="R592" s="309"/>
      <c r="S592" s="309"/>
      <c r="T592" s="309"/>
      <c r="U592" s="309"/>
      <c r="V592" s="309"/>
      <c r="W592" s="309"/>
      <c r="X592" s="309"/>
      <c r="Y592" s="309"/>
      <c r="Z592" s="309"/>
      <c r="AA592" s="309"/>
      <c r="AB592" s="309"/>
      <c r="AC592" s="309"/>
    </row>
    <row r="593" spans="1:29" ht="12.75" customHeight="1">
      <c r="A593" s="309"/>
      <c r="B593" s="309"/>
      <c r="C593" s="309"/>
      <c r="D593" s="309"/>
      <c r="E593" s="309"/>
      <c r="F593" s="309"/>
      <c r="G593" s="309"/>
      <c r="H593" s="309"/>
      <c r="I593" s="309"/>
      <c r="J593" s="309"/>
      <c r="K593" s="310"/>
      <c r="L593" s="309"/>
      <c r="M593" s="309"/>
      <c r="N593" s="309"/>
      <c r="O593" s="309"/>
      <c r="P593" s="309"/>
      <c r="Q593" s="309"/>
      <c r="R593" s="309"/>
      <c r="S593" s="309"/>
      <c r="T593" s="309"/>
      <c r="U593" s="309"/>
      <c r="V593" s="309"/>
      <c r="W593" s="309"/>
      <c r="X593" s="309"/>
      <c r="Y593" s="309"/>
      <c r="Z593" s="309"/>
      <c r="AA593" s="309"/>
      <c r="AB593" s="309"/>
      <c r="AC593" s="309"/>
    </row>
    <row r="594" spans="1:29" ht="12.75" customHeight="1">
      <c r="A594" s="309"/>
      <c r="B594" s="309"/>
      <c r="C594" s="309"/>
      <c r="D594" s="309"/>
      <c r="E594" s="309"/>
      <c r="F594" s="309"/>
      <c r="G594" s="309"/>
      <c r="H594" s="309"/>
      <c r="I594" s="309"/>
      <c r="J594" s="309"/>
      <c r="K594" s="310"/>
      <c r="L594" s="309"/>
      <c r="M594" s="309"/>
      <c r="N594" s="309"/>
      <c r="O594" s="309"/>
      <c r="P594" s="309"/>
      <c r="Q594" s="309"/>
      <c r="R594" s="309"/>
      <c r="S594" s="309"/>
      <c r="T594" s="309"/>
      <c r="U594" s="309"/>
      <c r="V594" s="309"/>
      <c r="W594" s="309"/>
      <c r="X594" s="309"/>
      <c r="Y594" s="309"/>
      <c r="Z594" s="309"/>
      <c r="AA594" s="309"/>
      <c r="AB594" s="309"/>
      <c r="AC594" s="309"/>
    </row>
    <row r="595" spans="1:29" ht="12.75" customHeight="1">
      <c r="A595" s="309"/>
      <c r="B595" s="309"/>
      <c r="C595" s="309"/>
      <c r="D595" s="309"/>
      <c r="E595" s="309"/>
      <c r="F595" s="309"/>
      <c r="G595" s="309"/>
      <c r="H595" s="309"/>
      <c r="I595" s="309"/>
      <c r="J595" s="309"/>
      <c r="K595" s="310"/>
      <c r="L595" s="309"/>
      <c r="M595" s="309"/>
      <c r="N595" s="309"/>
      <c r="O595" s="309"/>
      <c r="P595" s="309"/>
      <c r="Q595" s="309"/>
      <c r="R595" s="309"/>
      <c r="S595" s="309"/>
      <c r="T595" s="309"/>
      <c r="U595" s="309"/>
      <c r="V595" s="309"/>
      <c r="W595" s="309"/>
      <c r="X595" s="309"/>
      <c r="Y595" s="309"/>
      <c r="Z595" s="309"/>
      <c r="AA595" s="309"/>
      <c r="AB595" s="309"/>
      <c r="AC595" s="309"/>
    </row>
    <row r="596" spans="1:29" ht="12.75" customHeight="1">
      <c r="A596" s="309"/>
      <c r="B596" s="309"/>
      <c r="C596" s="309"/>
      <c r="D596" s="309"/>
      <c r="E596" s="309"/>
      <c r="F596" s="309"/>
      <c r="G596" s="309"/>
      <c r="H596" s="309"/>
      <c r="I596" s="309"/>
      <c r="J596" s="309"/>
      <c r="K596" s="310"/>
      <c r="L596" s="309"/>
      <c r="M596" s="309"/>
      <c r="N596" s="309"/>
      <c r="O596" s="309"/>
      <c r="P596" s="309"/>
      <c r="Q596" s="309"/>
      <c r="R596" s="309"/>
      <c r="S596" s="309"/>
      <c r="T596" s="309"/>
      <c r="U596" s="309"/>
      <c r="V596" s="309"/>
      <c r="W596" s="309"/>
      <c r="X596" s="309"/>
      <c r="Y596" s="309"/>
      <c r="Z596" s="309"/>
      <c r="AA596" s="309"/>
      <c r="AB596" s="309"/>
      <c r="AC596" s="309"/>
    </row>
    <row r="597" spans="1:29" ht="12.75" customHeight="1">
      <c r="A597" s="309"/>
      <c r="B597" s="309"/>
      <c r="C597" s="309"/>
      <c r="D597" s="309"/>
      <c r="E597" s="309"/>
      <c r="F597" s="309"/>
      <c r="G597" s="309"/>
      <c r="H597" s="309"/>
      <c r="I597" s="309"/>
      <c r="J597" s="309"/>
      <c r="K597" s="310"/>
      <c r="L597" s="309"/>
      <c r="M597" s="309"/>
      <c r="N597" s="309"/>
      <c r="O597" s="309"/>
      <c r="P597" s="309"/>
      <c r="Q597" s="309"/>
      <c r="R597" s="309"/>
      <c r="S597" s="309"/>
      <c r="T597" s="309"/>
      <c r="U597" s="309"/>
      <c r="V597" s="309"/>
      <c r="W597" s="309"/>
      <c r="X597" s="309"/>
      <c r="Y597" s="309"/>
      <c r="Z597" s="309"/>
      <c r="AA597" s="309"/>
      <c r="AB597" s="309"/>
      <c r="AC597" s="309"/>
    </row>
    <row r="598" spans="1:29" ht="12.75" customHeight="1">
      <c r="A598" s="309"/>
      <c r="B598" s="309"/>
      <c r="C598" s="309"/>
      <c r="D598" s="309"/>
      <c r="E598" s="309"/>
      <c r="F598" s="309"/>
      <c r="G598" s="309"/>
      <c r="H598" s="309"/>
      <c r="I598" s="309"/>
      <c r="J598" s="309"/>
      <c r="K598" s="310"/>
      <c r="L598" s="309"/>
      <c r="M598" s="309"/>
      <c r="N598" s="309"/>
      <c r="O598" s="309"/>
      <c r="P598" s="309"/>
      <c r="Q598" s="309"/>
      <c r="R598" s="309"/>
      <c r="S598" s="309"/>
      <c r="T598" s="309"/>
      <c r="U598" s="309"/>
      <c r="V598" s="309"/>
      <c r="W598" s="309"/>
      <c r="X598" s="309"/>
      <c r="Y598" s="309"/>
      <c r="Z598" s="309"/>
      <c r="AA598" s="309"/>
      <c r="AB598" s="309"/>
      <c r="AC598" s="309"/>
    </row>
    <row r="599" spans="1:29" ht="12.75" customHeight="1">
      <c r="A599" s="309"/>
      <c r="B599" s="309"/>
      <c r="C599" s="309"/>
      <c r="D599" s="309"/>
      <c r="E599" s="309"/>
      <c r="F599" s="309"/>
      <c r="G599" s="309"/>
      <c r="H599" s="309"/>
      <c r="I599" s="309"/>
      <c r="J599" s="309"/>
      <c r="K599" s="310"/>
      <c r="L599" s="309"/>
      <c r="M599" s="309"/>
      <c r="N599" s="309"/>
      <c r="O599" s="309"/>
      <c r="P599" s="309"/>
      <c r="Q599" s="309"/>
      <c r="R599" s="309"/>
      <c r="S599" s="309"/>
      <c r="T599" s="309"/>
      <c r="U599" s="309"/>
      <c r="V599" s="309"/>
      <c r="W599" s="309"/>
      <c r="X599" s="309"/>
      <c r="Y599" s="309"/>
      <c r="Z599" s="309"/>
      <c r="AA599" s="309"/>
      <c r="AB599" s="309"/>
      <c r="AC599" s="309"/>
    </row>
    <row r="600" spans="1:29" ht="12.75" customHeight="1">
      <c r="A600" s="309"/>
      <c r="B600" s="309"/>
      <c r="C600" s="309"/>
      <c r="D600" s="309"/>
      <c r="E600" s="309"/>
      <c r="F600" s="309"/>
      <c r="G600" s="309"/>
      <c r="H600" s="309"/>
      <c r="I600" s="309"/>
      <c r="J600" s="309"/>
      <c r="K600" s="310"/>
      <c r="L600" s="309"/>
      <c r="M600" s="309"/>
      <c r="N600" s="309"/>
      <c r="O600" s="309"/>
      <c r="P600" s="309"/>
      <c r="Q600" s="309"/>
      <c r="R600" s="309"/>
      <c r="S600" s="309"/>
      <c r="T600" s="309"/>
      <c r="U600" s="309"/>
      <c r="V600" s="309"/>
      <c r="W600" s="309"/>
      <c r="X600" s="309"/>
      <c r="Y600" s="309"/>
      <c r="Z600" s="309"/>
      <c r="AA600" s="309"/>
      <c r="AB600" s="309"/>
      <c r="AC600" s="309"/>
    </row>
    <row r="601" spans="1:29" ht="12.75" customHeight="1">
      <c r="A601" s="309"/>
      <c r="B601" s="309"/>
      <c r="C601" s="309"/>
      <c r="D601" s="309"/>
      <c r="E601" s="309"/>
      <c r="F601" s="309"/>
      <c r="G601" s="309"/>
      <c r="H601" s="309"/>
      <c r="I601" s="309"/>
      <c r="J601" s="309"/>
      <c r="K601" s="310"/>
      <c r="L601" s="309"/>
      <c r="M601" s="309"/>
      <c r="N601" s="309"/>
      <c r="O601" s="309"/>
      <c r="P601" s="309"/>
      <c r="Q601" s="309"/>
      <c r="R601" s="309"/>
      <c r="S601" s="309"/>
      <c r="T601" s="309"/>
      <c r="U601" s="309"/>
      <c r="V601" s="309"/>
      <c r="W601" s="309"/>
      <c r="X601" s="309"/>
      <c r="Y601" s="309"/>
      <c r="Z601" s="309"/>
      <c r="AA601" s="309"/>
      <c r="AB601" s="309"/>
      <c r="AC601" s="309"/>
    </row>
    <row r="602" spans="1:29" ht="12.75" customHeight="1">
      <c r="A602" s="309"/>
      <c r="B602" s="309"/>
      <c r="C602" s="309"/>
      <c r="D602" s="309"/>
      <c r="E602" s="309"/>
      <c r="F602" s="309"/>
      <c r="G602" s="309"/>
      <c r="H602" s="309"/>
      <c r="I602" s="309"/>
      <c r="J602" s="309"/>
      <c r="K602" s="310"/>
      <c r="L602" s="309"/>
      <c r="M602" s="309"/>
      <c r="N602" s="309"/>
      <c r="O602" s="309"/>
      <c r="P602" s="309"/>
      <c r="Q602" s="309"/>
      <c r="R602" s="309"/>
      <c r="S602" s="309"/>
      <c r="T602" s="309"/>
      <c r="U602" s="309"/>
      <c r="V602" s="309"/>
      <c r="W602" s="309"/>
      <c r="X602" s="309"/>
      <c r="Y602" s="309"/>
      <c r="Z602" s="309"/>
      <c r="AA602" s="309"/>
      <c r="AB602" s="309"/>
      <c r="AC602" s="309"/>
    </row>
    <row r="603" spans="1:29" ht="12.75" customHeight="1">
      <c r="A603" s="309"/>
      <c r="B603" s="309"/>
      <c r="C603" s="309"/>
      <c r="D603" s="309"/>
      <c r="E603" s="309"/>
      <c r="F603" s="309"/>
      <c r="G603" s="309"/>
      <c r="H603" s="309"/>
      <c r="I603" s="309"/>
      <c r="J603" s="309"/>
      <c r="K603" s="310"/>
      <c r="L603" s="309"/>
      <c r="M603" s="309"/>
      <c r="N603" s="309"/>
      <c r="O603" s="309"/>
      <c r="P603" s="309"/>
      <c r="Q603" s="309"/>
      <c r="R603" s="309"/>
      <c r="S603" s="309"/>
      <c r="T603" s="309"/>
      <c r="U603" s="309"/>
      <c r="V603" s="309"/>
      <c r="W603" s="309"/>
      <c r="X603" s="309"/>
      <c r="Y603" s="309"/>
      <c r="Z603" s="309"/>
      <c r="AA603" s="309"/>
      <c r="AB603" s="309"/>
      <c r="AC603" s="309"/>
    </row>
    <row r="604" spans="1:29" ht="12.75" customHeight="1">
      <c r="A604" s="309"/>
      <c r="B604" s="309"/>
      <c r="C604" s="309"/>
      <c r="D604" s="309"/>
      <c r="E604" s="309"/>
      <c r="F604" s="309"/>
      <c r="G604" s="309"/>
      <c r="H604" s="309"/>
      <c r="I604" s="309"/>
      <c r="J604" s="309"/>
      <c r="K604" s="310"/>
      <c r="L604" s="309"/>
      <c r="M604" s="309"/>
      <c r="N604" s="309"/>
      <c r="O604" s="309"/>
      <c r="P604" s="309"/>
      <c r="Q604" s="309"/>
      <c r="R604" s="309"/>
      <c r="S604" s="309"/>
      <c r="T604" s="309"/>
      <c r="U604" s="309"/>
      <c r="V604" s="309"/>
      <c r="W604" s="309"/>
      <c r="X604" s="309"/>
      <c r="Y604" s="309"/>
      <c r="Z604" s="309"/>
      <c r="AA604" s="309"/>
      <c r="AB604" s="309"/>
      <c r="AC604" s="309"/>
    </row>
    <row r="605" spans="1:29" ht="12.75" customHeight="1">
      <c r="A605" s="309"/>
      <c r="B605" s="309"/>
      <c r="C605" s="309"/>
      <c r="D605" s="309"/>
      <c r="E605" s="309"/>
      <c r="F605" s="309"/>
      <c r="G605" s="309"/>
      <c r="H605" s="309"/>
      <c r="I605" s="309"/>
      <c r="J605" s="309"/>
      <c r="K605" s="310"/>
      <c r="L605" s="309"/>
      <c r="M605" s="309"/>
      <c r="N605" s="309"/>
      <c r="O605" s="309"/>
      <c r="P605" s="309"/>
      <c r="Q605" s="309"/>
      <c r="R605" s="309"/>
      <c r="S605" s="309"/>
      <c r="T605" s="309"/>
      <c r="U605" s="309"/>
      <c r="V605" s="309"/>
      <c r="W605" s="309"/>
      <c r="X605" s="309"/>
      <c r="Y605" s="309"/>
      <c r="Z605" s="309"/>
      <c r="AA605" s="309"/>
      <c r="AB605" s="309"/>
      <c r="AC605" s="309"/>
    </row>
    <row r="606" spans="1:29" ht="12.75" customHeight="1">
      <c r="A606" s="309"/>
      <c r="B606" s="309"/>
      <c r="C606" s="309"/>
      <c r="D606" s="309"/>
      <c r="E606" s="309"/>
      <c r="F606" s="309"/>
      <c r="G606" s="309"/>
      <c r="H606" s="309"/>
      <c r="I606" s="309"/>
      <c r="J606" s="309"/>
      <c r="K606" s="310"/>
      <c r="L606" s="309"/>
      <c r="M606" s="309"/>
      <c r="N606" s="309"/>
      <c r="O606" s="309"/>
      <c r="P606" s="309"/>
      <c r="Q606" s="309"/>
      <c r="R606" s="309"/>
      <c r="S606" s="309"/>
      <c r="T606" s="309"/>
      <c r="U606" s="309"/>
      <c r="V606" s="309"/>
      <c r="W606" s="309"/>
      <c r="X606" s="309"/>
      <c r="Y606" s="309"/>
      <c r="Z606" s="309"/>
      <c r="AA606" s="309"/>
      <c r="AB606" s="309"/>
      <c r="AC606" s="309"/>
    </row>
    <row r="607" spans="1:29" ht="12.75" customHeight="1">
      <c r="A607" s="309"/>
      <c r="B607" s="309"/>
      <c r="C607" s="309"/>
      <c r="D607" s="309"/>
      <c r="E607" s="309"/>
      <c r="F607" s="309"/>
      <c r="G607" s="309"/>
      <c r="H607" s="309"/>
      <c r="I607" s="309"/>
      <c r="J607" s="309"/>
      <c r="K607" s="310"/>
      <c r="L607" s="309"/>
      <c r="M607" s="309"/>
      <c r="N607" s="309"/>
      <c r="O607" s="309"/>
      <c r="P607" s="309"/>
      <c r="Q607" s="309"/>
      <c r="R607" s="309"/>
      <c r="S607" s="309"/>
      <c r="T607" s="309"/>
      <c r="U607" s="309"/>
      <c r="V607" s="309"/>
      <c r="W607" s="309"/>
      <c r="X607" s="309"/>
      <c r="Y607" s="309"/>
      <c r="Z607" s="309"/>
      <c r="AA607" s="309"/>
      <c r="AB607" s="309"/>
      <c r="AC607" s="309"/>
    </row>
    <row r="608" spans="1:29" ht="12.75" customHeight="1">
      <c r="A608" s="309"/>
      <c r="B608" s="309"/>
      <c r="C608" s="309"/>
      <c r="D608" s="309"/>
      <c r="E608" s="309"/>
      <c r="F608" s="309"/>
      <c r="G608" s="309"/>
      <c r="H608" s="309"/>
      <c r="I608" s="309"/>
      <c r="J608" s="309"/>
      <c r="K608" s="310"/>
      <c r="L608" s="309"/>
      <c r="M608" s="309"/>
      <c r="N608" s="309"/>
      <c r="O608" s="309"/>
      <c r="P608" s="309"/>
      <c r="Q608" s="309"/>
      <c r="R608" s="309"/>
      <c r="S608" s="309"/>
      <c r="T608" s="309"/>
      <c r="U608" s="309"/>
      <c r="V608" s="309"/>
      <c r="W608" s="309"/>
      <c r="X608" s="309"/>
      <c r="Y608" s="309"/>
      <c r="Z608" s="309"/>
      <c r="AA608" s="309"/>
      <c r="AB608" s="309"/>
      <c r="AC608" s="309"/>
    </row>
    <row r="609" spans="1:29" ht="12.75" customHeight="1">
      <c r="A609" s="309"/>
      <c r="B609" s="309"/>
      <c r="C609" s="309"/>
      <c r="D609" s="309"/>
      <c r="E609" s="309"/>
      <c r="F609" s="309"/>
      <c r="G609" s="309"/>
      <c r="H609" s="309"/>
      <c r="I609" s="309"/>
      <c r="J609" s="309"/>
      <c r="K609" s="310"/>
      <c r="L609" s="309"/>
      <c r="M609" s="309"/>
      <c r="N609" s="309"/>
      <c r="O609" s="309"/>
      <c r="P609" s="309"/>
      <c r="Q609" s="309"/>
      <c r="R609" s="309"/>
      <c r="S609" s="309"/>
      <c r="T609" s="309"/>
      <c r="U609" s="309"/>
      <c r="V609" s="309"/>
      <c r="W609" s="309"/>
      <c r="X609" s="309"/>
      <c r="Y609" s="309"/>
      <c r="Z609" s="309"/>
      <c r="AA609" s="309"/>
      <c r="AB609" s="309"/>
      <c r="AC609" s="309"/>
    </row>
    <row r="610" spans="1:29" ht="12.75" customHeight="1">
      <c r="A610" s="309"/>
      <c r="B610" s="309"/>
      <c r="C610" s="309"/>
      <c r="D610" s="309"/>
      <c r="E610" s="309"/>
      <c r="F610" s="309"/>
      <c r="G610" s="309"/>
      <c r="H610" s="309"/>
      <c r="I610" s="309"/>
      <c r="J610" s="309"/>
      <c r="K610" s="310"/>
      <c r="L610" s="309"/>
      <c r="M610" s="309"/>
      <c r="N610" s="309"/>
      <c r="O610" s="309"/>
      <c r="P610" s="309"/>
      <c r="Q610" s="309"/>
      <c r="R610" s="309"/>
      <c r="S610" s="309"/>
      <c r="T610" s="309"/>
      <c r="U610" s="309"/>
      <c r="V610" s="309"/>
      <c r="W610" s="309"/>
      <c r="X610" s="309"/>
      <c r="Y610" s="309"/>
      <c r="Z610" s="309"/>
      <c r="AA610" s="309"/>
      <c r="AB610" s="309"/>
      <c r="AC610" s="309"/>
    </row>
    <row r="611" spans="1:29" ht="12.75" customHeight="1">
      <c r="A611" s="309"/>
      <c r="B611" s="309"/>
      <c r="C611" s="309"/>
      <c r="D611" s="309"/>
      <c r="E611" s="309"/>
      <c r="F611" s="309"/>
      <c r="G611" s="309"/>
      <c r="H611" s="309"/>
      <c r="I611" s="309"/>
      <c r="J611" s="309"/>
      <c r="K611" s="310"/>
      <c r="L611" s="309"/>
      <c r="M611" s="309"/>
      <c r="N611" s="309"/>
      <c r="O611" s="309"/>
      <c r="P611" s="309"/>
      <c r="Q611" s="309"/>
      <c r="R611" s="309"/>
      <c r="S611" s="309"/>
      <c r="T611" s="309"/>
      <c r="U611" s="309"/>
      <c r="V611" s="309"/>
      <c r="W611" s="309"/>
      <c r="X611" s="309"/>
      <c r="Y611" s="309"/>
      <c r="Z611" s="309"/>
      <c r="AA611" s="309"/>
      <c r="AB611" s="309"/>
      <c r="AC611" s="309"/>
    </row>
    <row r="612" spans="1:29" ht="12.75" customHeight="1">
      <c r="A612" s="309"/>
      <c r="B612" s="309"/>
      <c r="C612" s="309"/>
      <c r="D612" s="309"/>
      <c r="E612" s="309"/>
      <c r="F612" s="309"/>
      <c r="G612" s="309"/>
      <c r="H612" s="309"/>
      <c r="I612" s="309"/>
      <c r="J612" s="309"/>
      <c r="K612" s="310"/>
      <c r="L612" s="309"/>
      <c r="M612" s="309"/>
      <c r="N612" s="309"/>
      <c r="O612" s="309"/>
      <c r="P612" s="309"/>
      <c r="Q612" s="309"/>
      <c r="R612" s="309"/>
      <c r="S612" s="309"/>
      <c r="T612" s="309"/>
      <c r="U612" s="309"/>
      <c r="V612" s="309"/>
      <c r="W612" s="309"/>
      <c r="X612" s="309"/>
      <c r="Y612" s="309"/>
      <c r="Z612" s="309"/>
      <c r="AA612" s="309"/>
      <c r="AB612" s="309"/>
      <c r="AC612" s="309"/>
    </row>
    <row r="613" spans="1:29" ht="12.75" customHeight="1">
      <c r="A613" s="309"/>
      <c r="B613" s="309"/>
      <c r="C613" s="309"/>
      <c r="D613" s="309"/>
      <c r="E613" s="309"/>
      <c r="F613" s="309"/>
      <c r="G613" s="309"/>
      <c r="H613" s="309"/>
      <c r="I613" s="309"/>
      <c r="J613" s="309"/>
      <c r="K613" s="310"/>
      <c r="L613" s="309"/>
      <c r="M613" s="309"/>
      <c r="N613" s="309"/>
      <c r="O613" s="309"/>
      <c r="P613" s="309"/>
      <c r="Q613" s="309"/>
      <c r="R613" s="309"/>
      <c r="S613" s="309"/>
      <c r="T613" s="309"/>
      <c r="U613" s="309"/>
      <c r="V613" s="309"/>
      <c r="W613" s="309"/>
      <c r="X613" s="309"/>
      <c r="Y613" s="309"/>
      <c r="Z613" s="309"/>
      <c r="AA613" s="309"/>
      <c r="AB613" s="309"/>
      <c r="AC613" s="309"/>
    </row>
    <row r="614" spans="1:29" ht="12.75" customHeight="1">
      <c r="A614" s="309"/>
      <c r="B614" s="309"/>
      <c r="C614" s="309"/>
      <c r="D614" s="309"/>
      <c r="E614" s="309"/>
      <c r="F614" s="309"/>
      <c r="G614" s="309"/>
      <c r="H614" s="309"/>
      <c r="I614" s="309"/>
      <c r="J614" s="309"/>
      <c r="K614" s="310"/>
      <c r="L614" s="309"/>
      <c r="M614" s="309"/>
      <c r="N614" s="309"/>
      <c r="O614" s="309"/>
      <c r="P614" s="309"/>
      <c r="Q614" s="309"/>
      <c r="R614" s="309"/>
      <c r="S614" s="309"/>
      <c r="T614" s="309"/>
      <c r="U614" s="309"/>
      <c r="V614" s="309"/>
      <c r="W614" s="309"/>
      <c r="X614" s="309"/>
      <c r="Y614" s="309"/>
      <c r="Z614" s="309"/>
      <c r="AA614" s="309"/>
      <c r="AB614" s="309"/>
      <c r="AC614" s="309"/>
    </row>
    <row r="615" spans="1:29" ht="12.75" customHeight="1">
      <c r="A615" s="309"/>
      <c r="B615" s="309"/>
      <c r="C615" s="309"/>
      <c r="D615" s="309"/>
      <c r="E615" s="309"/>
      <c r="F615" s="309"/>
      <c r="G615" s="309"/>
      <c r="H615" s="309"/>
      <c r="I615" s="309"/>
      <c r="J615" s="309"/>
      <c r="K615" s="310"/>
      <c r="L615" s="309"/>
      <c r="M615" s="309"/>
      <c r="N615" s="309"/>
      <c r="O615" s="309"/>
      <c r="P615" s="309"/>
      <c r="Q615" s="309"/>
      <c r="R615" s="309"/>
      <c r="S615" s="309"/>
      <c r="T615" s="309"/>
      <c r="U615" s="309"/>
      <c r="V615" s="309"/>
      <c r="W615" s="309"/>
      <c r="X615" s="309"/>
      <c r="Y615" s="309"/>
      <c r="Z615" s="309"/>
      <c r="AA615" s="309"/>
      <c r="AB615" s="309"/>
      <c r="AC615" s="309"/>
    </row>
    <row r="616" spans="1:29" ht="12.75" customHeight="1">
      <c r="A616" s="309"/>
      <c r="B616" s="309"/>
      <c r="C616" s="309"/>
      <c r="D616" s="309"/>
      <c r="E616" s="309"/>
      <c r="F616" s="309"/>
      <c r="G616" s="309"/>
      <c r="H616" s="309"/>
      <c r="I616" s="309"/>
      <c r="J616" s="309"/>
      <c r="K616" s="310"/>
      <c r="L616" s="309"/>
      <c r="M616" s="309"/>
      <c r="N616" s="309"/>
      <c r="O616" s="309"/>
      <c r="P616" s="309"/>
      <c r="Q616" s="309"/>
      <c r="R616" s="309"/>
      <c r="S616" s="309"/>
      <c r="T616" s="309"/>
      <c r="U616" s="309"/>
      <c r="V616" s="309"/>
      <c r="W616" s="309"/>
      <c r="X616" s="309"/>
      <c r="Y616" s="309"/>
      <c r="Z616" s="309"/>
      <c r="AA616" s="309"/>
      <c r="AB616" s="309"/>
      <c r="AC616" s="309"/>
    </row>
    <row r="617" spans="1:29" ht="12.75" customHeight="1">
      <c r="A617" s="309"/>
      <c r="B617" s="309"/>
      <c r="C617" s="309"/>
      <c r="D617" s="309"/>
      <c r="E617" s="309"/>
      <c r="F617" s="309"/>
      <c r="G617" s="309"/>
      <c r="H617" s="309"/>
      <c r="I617" s="309"/>
      <c r="J617" s="309"/>
      <c r="K617" s="310"/>
      <c r="L617" s="309"/>
      <c r="M617" s="309"/>
      <c r="N617" s="309"/>
      <c r="O617" s="309"/>
      <c r="P617" s="309"/>
      <c r="Q617" s="309"/>
      <c r="R617" s="309"/>
      <c r="S617" s="309"/>
      <c r="T617" s="309"/>
      <c r="U617" s="309"/>
      <c r="V617" s="309"/>
      <c r="W617" s="309"/>
      <c r="X617" s="309"/>
      <c r="Y617" s="309"/>
      <c r="Z617" s="309"/>
      <c r="AA617" s="309"/>
      <c r="AB617" s="309"/>
      <c r="AC617" s="309"/>
    </row>
    <row r="618" spans="1:29" ht="12.75" customHeight="1">
      <c r="A618" s="309"/>
      <c r="B618" s="309"/>
      <c r="C618" s="309"/>
      <c r="D618" s="309"/>
      <c r="E618" s="309"/>
      <c r="F618" s="309"/>
      <c r="G618" s="309"/>
      <c r="H618" s="309"/>
      <c r="I618" s="309"/>
      <c r="J618" s="309"/>
      <c r="K618" s="310"/>
      <c r="L618" s="309"/>
      <c r="M618" s="309"/>
      <c r="N618" s="309"/>
      <c r="O618" s="309"/>
      <c r="P618" s="309"/>
      <c r="Q618" s="309"/>
      <c r="R618" s="309"/>
      <c r="S618" s="309"/>
      <c r="T618" s="309"/>
      <c r="U618" s="309"/>
      <c r="V618" s="309"/>
      <c r="W618" s="309"/>
      <c r="X618" s="309"/>
      <c r="Y618" s="309"/>
      <c r="Z618" s="309"/>
      <c r="AA618" s="309"/>
      <c r="AB618" s="309"/>
      <c r="AC618" s="309"/>
    </row>
    <row r="619" spans="1:29" ht="12.75" customHeight="1">
      <c r="A619" s="309"/>
      <c r="B619" s="309"/>
      <c r="C619" s="309"/>
      <c r="D619" s="309"/>
      <c r="E619" s="309"/>
      <c r="F619" s="309"/>
      <c r="G619" s="309"/>
      <c r="H619" s="309"/>
      <c r="I619" s="309"/>
      <c r="J619" s="309"/>
      <c r="K619" s="310"/>
      <c r="L619" s="309"/>
      <c r="M619" s="309"/>
      <c r="N619" s="309"/>
      <c r="O619" s="309"/>
      <c r="P619" s="309"/>
      <c r="Q619" s="309"/>
      <c r="R619" s="309"/>
      <c r="S619" s="309"/>
      <c r="T619" s="309"/>
      <c r="U619" s="309"/>
      <c r="V619" s="309"/>
      <c r="W619" s="309"/>
      <c r="X619" s="309"/>
      <c r="Y619" s="309"/>
      <c r="Z619" s="309"/>
      <c r="AA619" s="309"/>
      <c r="AB619" s="309"/>
      <c r="AC619" s="309"/>
    </row>
    <row r="620" spans="1:29" ht="12.75" customHeight="1">
      <c r="A620" s="309"/>
      <c r="B620" s="309"/>
      <c r="C620" s="309"/>
      <c r="D620" s="309"/>
      <c r="E620" s="309"/>
      <c r="F620" s="309"/>
      <c r="G620" s="309"/>
      <c r="H620" s="309"/>
      <c r="I620" s="309"/>
      <c r="J620" s="309"/>
      <c r="K620" s="310"/>
      <c r="L620" s="309"/>
      <c r="M620" s="309"/>
      <c r="N620" s="309"/>
      <c r="O620" s="309"/>
      <c r="P620" s="309"/>
      <c r="Q620" s="309"/>
      <c r="R620" s="309"/>
      <c r="S620" s="309"/>
      <c r="T620" s="309"/>
      <c r="U620" s="309"/>
      <c r="V620" s="309"/>
      <c r="W620" s="309"/>
      <c r="X620" s="309"/>
      <c r="Y620" s="309"/>
      <c r="Z620" s="309"/>
      <c r="AA620" s="309"/>
      <c r="AB620" s="309"/>
      <c r="AC620" s="309"/>
    </row>
    <row r="621" spans="1:29" ht="12.75" customHeight="1">
      <c r="A621" s="309"/>
      <c r="B621" s="309"/>
      <c r="C621" s="309"/>
      <c r="D621" s="309"/>
      <c r="E621" s="309"/>
      <c r="F621" s="309"/>
      <c r="G621" s="309"/>
      <c r="H621" s="309"/>
      <c r="I621" s="309"/>
      <c r="J621" s="309"/>
      <c r="K621" s="310"/>
      <c r="L621" s="309"/>
      <c r="M621" s="309"/>
      <c r="N621" s="309"/>
      <c r="O621" s="309"/>
      <c r="P621" s="309"/>
      <c r="Q621" s="309"/>
      <c r="R621" s="309"/>
      <c r="S621" s="309"/>
      <c r="T621" s="309"/>
      <c r="U621" s="309"/>
      <c r="V621" s="309"/>
      <c r="W621" s="309"/>
      <c r="X621" s="309"/>
      <c r="Y621" s="309"/>
      <c r="Z621" s="309"/>
      <c r="AA621" s="309"/>
      <c r="AB621" s="309"/>
      <c r="AC621" s="309"/>
    </row>
    <row r="622" spans="1:29" ht="12.75" customHeight="1">
      <c r="A622" s="309"/>
      <c r="B622" s="309"/>
      <c r="C622" s="309"/>
      <c r="D622" s="309"/>
      <c r="E622" s="309"/>
      <c r="F622" s="309"/>
      <c r="G622" s="309"/>
      <c r="H622" s="309"/>
      <c r="I622" s="309"/>
      <c r="J622" s="309"/>
      <c r="K622" s="310"/>
      <c r="L622" s="309"/>
      <c r="M622" s="309"/>
      <c r="N622" s="309"/>
      <c r="O622" s="309"/>
      <c r="P622" s="309"/>
      <c r="Q622" s="309"/>
      <c r="R622" s="309"/>
      <c r="S622" s="309"/>
      <c r="T622" s="309"/>
      <c r="U622" s="309"/>
      <c r="V622" s="309"/>
      <c r="W622" s="309"/>
      <c r="X622" s="309"/>
      <c r="Y622" s="309"/>
      <c r="Z622" s="309"/>
      <c r="AA622" s="309"/>
      <c r="AB622" s="309"/>
      <c r="AC622" s="309"/>
    </row>
    <row r="623" spans="1:29" ht="12.75" customHeight="1">
      <c r="A623" s="309"/>
      <c r="B623" s="309"/>
      <c r="C623" s="309"/>
      <c r="D623" s="309"/>
      <c r="E623" s="309"/>
      <c r="F623" s="309"/>
      <c r="G623" s="309"/>
      <c r="H623" s="309"/>
      <c r="I623" s="309"/>
      <c r="J623" s="309"/>
      <c r="K623" s="310"/>
      <c r="L623" s="309"/>
      <c r="M623" s="309"/>
      <c r="N623" s="309"/>
      <c r="O623" s="309"/>
      <c r="P623" s="309"/>
      <c r="Q623" s="309"/>
      <c r="R623" s="309"/>
      <c r="S623" s="309"/>
      <c r="T623" s="309"/>
      <c r="U623" s="309"/>
      <c r="V623" s="309"/>
      <c r="W623" s="309"/>
      <c r="X623" s="309"/>
      <c r="Y623" s="309"/>
      <c r="Z623" s="309"/>
      <c r="AA623" s="309"/>
      <c r="AB623" s="309"/>
      <c r="AC623" s="309"/>
    </row>
    <row r="624" spans="1:29" ht="12.75" customHeight="1">
      <c r="A624" s="309"/>
      <c r="B624" s="309"/>
      <c r="C624" s="309"/>
      <c r="D624" s="309"/>
      <c r="E624" s="309"/>
      <c r="F624" s="309"/>
      <c r="G624" s="309"/>
      <c r="H624" s="309"/>
      <c r="I624" s="309"/>
      <c r="J624" s="309"/>
      <c r="K624" s="310"/>
      <c r="L624" s="309"/>
      <c r="M624" s="309"/>
      <c r="N624" s="309"/>
      <c r="O624" s="309"/>
      <c r="P624" s="309"/>
      <c r="Q624" s="309"/>
      <c r="R624" s="309"/>
      <c r="S624" s="309"/>
      <c r="T624" s="309"/>
      <c r="U624" s="309"/>
      <c r="V624" s="309"/>
      <c r="W624" s="309"/>
      <c r="X624" s="309"/>
      <c r="Y624" s="309"/>
      <c r="Z624" s="309"/>
      <c r="AA624" s="309"/>
      <c r="AB624" s="309"/>
      <c r="AC624" s="309"/>
    </row>
    <row r="625" spans="1:29" ht="12.75" customHeight="1">
      <c r="A625" s="309"/>
      <c r="B625" s="309"/>
      <c r="C625" s="309"/>
      <c r="D625" s="309"/>
      <c r="E625" s="309"/>
      <c r="F625" s="309"/>
      <c r="G625" s="309"/>
      <c r="H625" s="309"/>
      <c r="I625" s="309"/>
      <c r="J625" s="309"/>
      <c r="K625" s="310"/>
      <c r="L625" s="309"/>
      <c r="M625" s="309"/>
      <c r="N625" s="309"/>
      <c r="O625" s="309"/>
      <c r="P625" s="309"/>
      <c r="Q625" s="309"/>
      <c r="R625" s="309"/>
      <c r="S625" s="309"/>
      <c r="T625" s="309"/>
      <c r="U625" s="309"/>
      <c r="V625" s="309"/>
      <c r="W625" s="309"/>
      <c r="X625" s="309"/>
      <c r="Y625" s="309"/>
      <c r="Z625" s="309"/>
      <c r="AA625" s="309"/>
      <c r="AB625" s="309"/>
      <c r="AC625" s="309"/>
    </row>
    <row r="626" spans="1:29" ht="12.75" customHeight="1">
      <c r="A626" s="309"/>
      <c r="B626" s="309"/>
      <c r="C626" s="309"/>
      <c r="D626" s="309"/>
      <c r="E626" s="309"/>
      <c r="F626" s="309"/>
      <c r="G626" s="309"/>
      <c r="H626" s="309"/>
      <c r="I626" s="309"/>
      <c r="J626" s="309"/>
      <c r="K626" s="310"/>
      <c r="L626" s="309"/>
      <c r="M626" s="309"/>
      <c r="N626" s="309"/>
      <c r="O626" s="309"/>
      <c r="P626" s="309"/>
      <c r="Q626" s="309"/>
      <c r="R626" s="309"/>
      <c r="S626" s="309"/>
      <c r="T626" s="309"/>
      <c r="U626" s="309"/>
      <c r="V626" s="309"/>
      <c r="W626" s="309"/>
      <c r="X626" s="309"/>
      <c r="Y626" s="309"/>
      <c r="Z626" s="309"/>
      <c r="AA626" s="309"/>
      <c r="AB626" s="309"/>
      <c r="AC626" s="309"/>
    </row>
    <row r="627" spans="1:29" ht="12.75" customHeight="1">
      <c r="A627" s="309"/>
      <c r="B627" s="309"/>
      <c r="C627" s="309"/>
      <c r="D627" s="309"/>
      <c r="E627" s="309"/>
      <c r="F627" s="309"/>
      <c r="G627" s="309"/>
      <c r="H627" s="309"/>
      <c r="I627" s="309"/>
      <c r="J627" s="309"/>
      <c r="K627" s="310"/>
      <c r="L627" s="309"/>
      <c r="M627" s="309"/>
      <c r="N627" s="309"/>
      <c r="O627" s="309"/>
      <c r="P627" s="309"/>
      <c r="Q627" s="309"/>
      <c r="R627" s="309"/>
      <c r="S627" s="309"/>
      <c r="T627" s="309"/>
      <c r="U627" s="309"/>
      <c r="V627" s="309"/>
      <c r="W627" s="309"/>
      <c r="X627" s="309"/>
      <c r="Y627" s="309"/>
      <c r="Z627" s="309"/>
      <c r="AA627" s="309"/>
      <c r="AB627" s="309"/>
      <c r="AC627" s="309"/>
    </row>
    <row r="628" spans="1:29" ht="12.75" customHeight="1">
      <c r="A628" s="309"/>
      <c r="B628" s="309"/>
      <c r="C628" s="309"/>
      <c r="D628" s="309"/>
      <c r="E628" s="309"/>
      <c r="F628" s="309"/>
      <c r="G628" s="309"/>
      <c r="H628" s="309"/>
      <c r="I628" s="309"/>
      <c r="J628" s="309"/>
      <c r="K628" s="310"/>
      <c r="L628" s="309"/>
      <c r="M628" s="309"/>
      <c r="N628" s="309"/>
      <c r="O628" s="309"/>
      <c r="P628" s="309"/>
      <c r="Q628" s="309"/>
      <c r="R628" s="309"/>
      <c r="S628" s="309"/>
      <c r="T628" s="309"/>
      <c r="U628" s="309"/>
      <c r="V628" s="309"/>
      <c r="W628" s="309"/>
      <c r="X628" s="309"/>
      <c r="Y628" s="309"/>
      <c r="Z628" s="309"/>
      <c r="AA628" s="309"/>
      <c r="AB628" s="309"/>
      <c r="AC628" s="309"/>
    </row>
    <row r="629" spans="1:29" ht="12.75" customHeight="1">
      <c r="A629" s="309"/>
      <c r="B629" s="309"/>
      <c r="C629" s="309"/>
      <c r="D629" s="309"/>
      <c r="E629" s="309"/>
      <c r="F629" s="309"/>
      <c r="G629" s="309"/>
      <c r="H629" s="309"/>
      <c r="I629" s="309"/>
      <c r="J629" s="309"/>
      <c r="K629" s="310"/>
      <c r="L629" s="309"/>
      <c r="M629" s="309"/>
      <c r="N629" s="309"/>
      <c r="O629" s="309"/>
      <c r="P629" s="309"/>
      <c r="Q629" s="309"/>
      <c r="R629" s="309"/>
      <c r="S629" s="309"/>
      <c r="T629" s="309"/>
      <c r="U629" s="309"/>
      <c r="V629" s="309"/>
      <c r="W629" s="309"/>
      <c r="X629" s="309"/>
      <c r="Y629" s="309"/>
      <c r="Z629" s="309"/>
      <c r="AA629" s="309"/>
      <c r="AB629" s="309"/>
      <c r="AC629" s="309"/>
    </row>
    <row r="630" spans="1:29" ht="12.75" customHeight="1">
      <c r="A630" s="309"/>
      <c r="B630" s="309"/>
      <c r="C630" s="309"/>
      <c r="D630" s="309"/>
      <c r="E630" s="309"/>
      <c r="F630" s="309"/>
      <c r="G630" s="309"/>
      <c r="H630" s="309"/>
      <c r="I630" s="309"/>
      <c r="J630" s="309"/>
      <c r="K630" s="310"/>
      <c r="L630" s="309"/>
      <c r="M630" s="309"/>
      <c r="N630" s="309"/>
      <c r="O630" s="309"/>
      <c r="P630" s="309"/>
      <c r="Q630" s="309"/>
      <c r="R630" s="309"/>
      <c r="S630" s="309"/>
      <c r="T630" s="309"/>
      <c r="U630" s="309"/>
      <c r="V630" s="309"/>
      <c r="W630" s="309"/>
      <c r="X630" s="309"/>
      <c r="Y630" s="309"/>
      <c r="Z630" s="309"/>
      <c r="AA630" s="309"/>
      <c r="AB630" s="309"/>
      <c r="AC630" s="309"/>
    </row>
    <row r="631" spans="1:29" ht="12.75" customHeight="1">
      <c r="A631" s="309"/>
      <c r="B631" s="309"/>
      <c r="C631" s="309"/>
      <c r="D631" s="309"/>
      <c r="E631" s="309"/>
      <c r="F631" s="309"/>
      <c r="G631" s="309"/>
      <c r="H631" s="309"/>
      <c r="I631" s="309"/>
      <c r="J631" s="309"/>
      <c r="K631" s="310"/>
      <c r="L631" s="309"/>
      <c r="M631" s="309"/>
      <c r="N631" s="309"/>
      <c r="O631" s="309"/>
      <c r="P631" s="309"/>
      <c r="Q631" s="309"/>
      <c r="R631" s="309"/>
      <c r="S631" s="309"/>
      <c r="T631" s="309"/>
      <c r="U631" s="309"/>
      <c r="V631" s="309"/>
      <c r="W631" s="309"/>
      <c r="X631" s="309"/>
      <c r="Y631" s="309"/>
      <c r="Z631" s="309"/>
      <c r="AA631" s="309"/>
      <c r="AB631" s="309"/>
      <c r="AC631" s="309"/>
    </row>
    <row r="632" spans="1:29" ht="12.75" customHeight="1">
      <c r="A632" s="309"/>
      <c r="B632" s="309"/>
      <c r="C632" s="309"/>
      <c r="D632" s="309"/>
      <c r="E632" s="309"/>
      <c r="F632" s="309"/>
      <c r="G632" s="309"/>
      <c r="H632" s="309"/>
      <c r="I632" s="309"/>
      <c r="J632" s="309"/>
      <c r="K632" s="310"/>
      <c r="L632" s="309"/>
      <c r="M632" s="309"/>
      <c r="N632" s="309"/>
      <c r="O632" s="309"/>
      <c r="P632" s="309"/>
      <c r="Q632" s="309"/>
      <c r="R632" s="309"/>
      <c r="S632" s="309"/>
      <c r="T632" s="309"/>
      <c r="U632" s="309"/>
      <c r="V632" s="309"/>
      <c r="W632" s="309"/>
      <c r="X632" s="309"/>
      <c r="Y632" s="309"/>
      <c r="Z632" s="309"/>
      <c r="AA632" s="309"/>
      <c r="AB632" s="309"/>
      <c r="AC632" s="309"/>
    </row>
    <row r="633" spans="1:29" ht="12.75" customHeight="1">
      <c r="A633" s="309"/>
      <c r="B633" s="309"/>
      <c r="C633" s="309"/>
      <c r="D633" s="309"/>
      <c r="E633" s="309"/>
      <c r="F633" s="309"/>
      <c r="G633" s="309"/>
      <c r="H633" s="309"/>
      <c r="I633" s="309"/>
      <c r="J633" s="309"/>
      <c r="K633" s="310"/>
      <c r="L633" s="309"/>
      <c r="M633" s="309"/>
      <c r="N633" s="309"/>
      <c r="O633" s="309"/>
      <c r="P633" s="309"/>
      <c r="Q633" s="309"/>
      <c r="R633" s="309"/>
      <c r="S633" s="309"/>
      <c r="T633" s="309"/>
      <c r="U633" s="309"/>
      <c r="V633" s="309"/>
      <c r="W633" s="309"/>
      <c r="X633" s="309"/>
      <c r="Y633" s="309"/>
      <c r="Z633" s="309"/>
      <c r="AA633" s="309"/>
      <c r="AB633" s="309"/>
      <c r="AC633" s="309"/>
    </row>
    <row r="634" spans="1:29" ht="12.75" customHeight="1">
      <c r="A634" s="309"/>
      <c r="B634" s="309"/>
      <c r="C634" s="309"/>
      <c r="D634" s="309"/>
      <c r="E634" s="309"/>
      <c r="F634" s="309"/>
      <c r="G634" s="309"/>
      <c r="H634" s="309"/>
      <c r="I634" s="309"/>
      <c r="J634" s="309"/>
      <c r="K634" s="310"/>
      <c r="L634" s="309"/>
      <c r="M634" s="309"/>
      <c r="N634" s="309"/>
      <c r="O634" s="309"/>
      <c r="P634" s="309"/>
      <c r="Q634" s="309"/>
      <c r="R634" s="309"/>
      <c r="S634" s="309"/>
      <c r="T634" s="309"/>
      <c r="U634" s="309"/>
      <c r="V634" s="309"/>
      <c r="W634" s="309"/>
      <c r="X634" s="309"/>
      <c r="Y634" s="309"/>
      <c r="Z634" s="309"/>
      <c r="AA634" s="309"/>
      <c r="AB634" s="309"/>
      <c r="AC634" s="309"/>
    </row>
    <row r="635" spans="1:29" ht="12.75" customHeight="1">
      <c r="A635" s="309"/>
      <c r="B635" s="309"/>
      <c r="C635" s="309"/>
      <c r="D635" s="309"/>
      <c r="E635" s="309"/>
      <c r="F635" s="309"/>
      <c r="G635" s="309"/>
      <c r="H635" s="309"/>
      <c r="I635" s="309"/>
      <c r="J635" s="309"/>
      <c r="K635" s="310"/>
      <c r="L635" s="309"/>
      <c r="M635" s="309"/>
      <c r="N635" s="309"/>
      <c r="O635" s="309"/>
      <c r="P635" s="309"/>
      <c r="Q635" s="309"/>
      <c r="R635" s="309"/>
      <c r="S635" s="309"/>
      <c r="T635" s="309"/>
      <c r="U635" s="309"/>
      <c r="V635" s="309"/>
      <c r="W635" s="309"/>
      <c r="X635" s="309"/>
      <c r="Y635" s="309"/>
      <c r="Z635" s="309"/>
      <c r="AA635" s="309"/>
      <c r="AB635" s="309"/>
      <c r="AC635" s="309"/>
    </row>
    <row r="636" spans="1:29" ht="12.75" customHeight="1">
      <c r="A636" s="309"/>
      <c r="B636" s="309"/>
      <c r="C636" s="309"/>
      <c r="D636" s="309"/>
      <c r="E636" s="309"/>
      <c r="F636" s="309"/>
      <c r="G636" s="309"/>
      <c r="H636" s="309"/>
      <c r="I636" s="309"/>
      <c r="J636" s="309"/>
      <c r="K636" s="310"/>
      <c r="L636" s="309"/>
      <c r="M636" s="309"/>
      <c r="N636" s="309"/>
      <c r="O636" s="309"/>
      <c r="P636" s="309"/>
      <c r="Q636" s="309"/>
      <c r="R636" s="309"/>
      <c r="S636" s="309"/>
      <c r="T636" s="309"/>
      <c r="U636" s="309"/>
      <c r="V636" s="309"/>
      <c r="W636" s="309"/>
      <c r="X636" s="309"/>
      <c r="Y636" s="309"/>
      <c r="Z636" s="309"/>
      <c r="AA636" s="309"/>
      <c r="AB636" s="309"/>
      <c r="AC636" s="309"/>
    </row>
    <row r="637" spans="1:29" ht="12.75" customHeight="1">
      <c r="A637" s="309"/>
      <c r="B637" s="309"/>
      <c r="C637" s="309"/>
      <c r="D637" s="309"/>
      <c r="E637" s="309"/>
      <c r="F637" s="309"/>
      <c r="G637" s="309"/>
      <c r="H637" s="309"/>
      <c r="I637" s="309"/>
      <c r="J637" s="309"/>
      <c r="K637" s="310"/>
      <c r="L637" s="309"/>
      <c r="M637" s="309"/>
      <c r="N637" s="309"/>
      <c r="O637" s="309"/>
      <c r="P637" s="309"/>
      <c r="Q637" s="309"/>
      <c r="R637" s="309"/>
      <c r="S637" s="309"/>
      <c r="T637" s="309"/>
      <c r="U637" s="309"/>
      <c r="V637" s="309"/>
      <c r="W637" s="309"/>
      <c r="X637" s="309"/>
      <c r="Y637" s="309"/>
      <c r="Z637" s="309"/>
      <c r="AA637" s="309"/>
      <c r="AB637" s="309"/>
      <c r="AC637" s="309"/>
    </row>
    <row r="638" spans="1:29" ht="12.75" customHeight="1">
      <c r="A638" s="309"/>
      <c r="B638" s="309"/>
      <c r="C638" s="309"/>
      <c r="D638" s="309"/>
      <c r="E638" s="309"/>
      <c r="F638" s="309"/>
      <c r="G638" s="309"/>
      <c r="H638" s="309"/>
      <c r="I638" s="309"/>
      <c r="J638" s="309"/>
      <c r="K638" s="310"/>
      <c r="L638" s="309"/>
      <c r="M638" s="309"/>
      <c r="N638" s="309"/>
      <c r="O638" s="309"/>
      <c r="P638" s="309"/>
      <c r="Q638" s="309"/>
      <c r="R638" s="309"/>
      <c r="S638" s="309"/>
      <c r="T638" s="309"/>
      <c r="U638" s="309"/>
      <c r="V638" s="309"/>
      <c r="W638" s="309"/>
      <c r="X638" s="309"/>
      <c r="Y638" s="309"/>
      <c r="Z638" s="309"/>
      <c r="AA638" s="309"/>
      <c r="AB638" s="309"/>
      <c r="AC638" s="309"/>
    </row>
    <row r="639" spans="1:29" ht="12.75" customHeight="1">
      <c r="A639" s="309"/>
      <c r="B639" s="309"/>
      <c r="C639" s="309"/>
      <c r="D639" s="309"/>
      <c r="E639" s="309"/>
      <c r="F639" s="309"/>
      <c r="G639" s="309"/>
      <c r="H639" s="309"/>
      <c r="I639" s="309"/>
      <c r="J639" s="309"/>
      <c r="K639" s="310"/>
      <c r="L639" s="309"/>
      <c r="M639" s="309"/>
      <c r="N639" s="309"/>
      <c r="O639" s="309"/>
      <c r="P639" s="309"/>
      <c r="Q639" s="309"/>
      <c r="R639" s="309"/>
      <c r="S639" s="309"/>
      <c r="T639" s="309"/>
      <c r="U639" s="309"/>
      <c r="V639" s="309"/>
      <c r="W639" s="309"/>
      <c r="X639" s="309"/>
      <c r="Y639" s="309"/>
      <c r="Z639" s="309"/>
      <c r="AA639" s="309"/>
      <c r="AB639" s="309"/>
      <c r="AC639" s="309"/>
    </row>
    <row r="640" spans="1:29" ht="12.75" customHeight="1">
      <c r="A640" s="309"/>
      <c r="B640" s="309"/>
      <c r="C640" s="309"/>
      <c r="D640" s="309"/>
      <c r="E640" s="309"/>
      <c r="F640" s="309"/>
      <c r="G640" s="309"/>
      <c r="H640" s="309"/>
      <c r="I640" s="309"/>
      <c r="J640" s="309"/>
      <c r="K640" s="310"/>
      <c r="L640" s="309"/>
      <c r="M640" s="309"/>
      <c r="N640" s="309"/>
      <c r="O640" s="309"/>
      <c r="P640" s="309"/>
      <c r="Q640" s="309"/>
      <c r="R640" s="309"/>
      <c r="S640" s="309"/>
      <c r="T640" s="309"/>
      <c r="U640" s="309"/>
      <c r="V640" s="309"/>
      <c r="W640" s="309"/>
      <c r="X640" s="309"/>
      <c r="Y640" s="309"/>
      <c r="Z640" s="309"/>
      <c r="AA640" s="309"/>
      <c r="AB640" s="309"/>
      <c r="AC640" s="309"/>
    </row>
    <row r="641" spans="1:29" ht="12.75" customHeight="1">
      <c r="A641" s="309"/>
      <c r="B641" s="309"/>
      <c r="C641" s="309"/>
      <c r="D641" s="309"/>
      <c r="E641" s="309"/>
      <c r="F641" s="309"/>
      <c r="G641" s="309"/>
      <c r="H641" s="309"/>
      <c r="I641" s="309"/>
      <c r="J641" s="309"/>
      <c r="K641" s="310"/>
      <c r="L641" s="309"/>
      <c r="M641" s="309"/>
      <c r="N641" s="309"/>
      <c r="O641" s="309"/>
      <c r="P641" s="309"/>
      <c r="Q641" s="309"/>
      <c r="R641" s="309"/>
      <c r="S641" s="309"/>
      <c r="T641" s="309"/>
      <c r="U641" s="309"/>
      <c r="V641" s="309"/>
      <c r="W641" s="309"/>
      <c r="X641" s="309"/>
      <c r="Y641" s="309"/>
      <c r="Z641" s="309"/>
      <c r="AA641" s="309"/>
      <c r="AB641" s="309"/>
      <c r="AC641" s="309"/>
    </row>
    <row r="642" spans="1:29" ht="12.75" customHeight="1">
      <c r="A642" s="309"/>
      <c r="B642" s="309"/>
      <c r="C642" s="309"/>
      <c r="D642" s="309"/>
      <c r="E642" s="309"/>
      <c r="F642" s="309"/>
      <c r="G642" s="309"/>
      <c r="H642" s="309"/>
      <c r="I642" s="309"/>
      <c r="J642" s="309"/>
      <c r="K642" s="310"/>
      <c r="L642" s="309"/>
      <c r="M642" s="309"/>
      <c r="N642" s="309"/>
      <c r="O642" s="309"/>
      <c r="P642" s="309"/>
      <c r="Q642" s="309"/>
      <c r="R642" s="309"/>
      <c r="S642" s="309"/>
      <c r="T642" s="309"/>
      <c r="U642" s="309"/>
      <c r="V642" s="309"/>
      <c r="W642" s="309"/>
      <c r="X642" s="309"/>
      <c r="Y642" s="309"/>
      <c r="Z642" s="309"/>
      <c r="AA642" s="309"/>
      <c r="AB642" s="309"/>
      <c r="AC642" s="309"/>
    </row>
    <row r="643" spans="1:29" ht="12.75" customHeight="1">
      <c r="A643" s="309"/>
      <c r="B643" s="309"/>
      <c r="C643" s="309"/>
      <c r="D643" s="309"/>
      <c r="E643" s="309"/>
      <c r="F643" s="309"/>
      <c r="G643" s="309"/>
      <c r="H643" s="309"/>
      <c r="I643" s="309"/>
      <c r="J643" s="309"/>
      <c r="K643" s="310"/>
      <c r="L643" s="309"/>
      <c r="M643" s="309"/>
      <c r="N643" s="309"/>
      <c r="O643" s="309"/>
      <c r="P643" s="309"/>
      <c r="Q643" s="309"/>
      <c r="R643" s="309"/>
      <c r="S643" s="309"/>
      <c r="T643" s="309"/>
      <c r="U643" s="309"/>
      <c r="V643" s="309"/>
      <c r="W643" s="309"/>
      <c r="X643" s="309"/>
      <c r="Y643" s="309"/>
      <c r="Z643" s="309"/>
      <c r="AA643" s="309"/>
      <c r="AB643" s="309"/>
      <c r="AC643" s="309"/>
    </row>
    <row r="644" spans="1:29" ht="12.75" customHeight="1">
      <c r="A644" s="309"/>
      <c r="B644" s="309"/>
      <c r="C644" s="309"/>
      <c r="D644" s="309"/>
      <c r="E644" s="309"/>
      <c r="F644" s="309"/>
      <c r="G644" s="309"/>
      <c r="H644" s="309"/>
      <c r="I644" s="309"/>
      <c r="J644" s="309"/>
      <c r="K644" s="310"/>
      <c r="L644" s="309"/>
      <c r="M644" s="309"/>
      <c r="N644" s="309"/>
      <c r="O644" s="309"/>
      <c r="P644" s="309"/>
      <c r="Q644" s="309"/>
      <c r="R644" s="309"/>
      <c r="S644" s="309"/>
      <c r="T644" s="309"/>
      <c r="U644" s="309"/>
      <c r="V644" s="309"/>
      <c r="W644" s="309"/>
      <c r="X644" s="309"/>
      <c r="Y644" s="309"/>
      <c r="Z644" s="309"/>
      <c r="AA644" s="309"/>
      <c r="AB644" s="309"/>
      <c r="AC644" s="309"/>
    </row>
    <row r="645" spans="1:29" ht="12.75" customHeight="1">
      <c r="A645" s="309"/>
      <c r="B645" s="309"/>
      <c r="C645" s="309"/>
      <c r="D645" s="309"/>
      <c r="E645" s="309"/>
      <c r="F645" s="309"/>
      <c r="G645" s="309"/>
      <c r="H645" s="309"/>
      <c r="I645" s="309"/>
      <c r="J645" s="309"/>
      <c r="K645" s="310"/>
      <c r="L645" s="309"/>
      <c r="M645" s="309"/>
      <c r="N645" s="309"/>
      <c r="O645" s="309"/>
      <c r="P645" s="309"/>
      <c r="Q645" s="309"/>
      <c r="R645" s="309"/>
      <c r="S645" s="309"/>
      <c r="T645" s="309"/>
      <c r="U645" s="309"/>
      <c r="V645" s="309"/>
      <c r="W645" s="309"/>
      <c r="X645" s="309"/>
      <c r="Y645" s="309"/>
      <c r="Z645" s="309"/>
      <c r="AA645" s="309"/>
      <c r="AB645" s="309"/>
      <c r="AC645" s="309"/>
    </row>
    <row r="646" spans="1:29" ht="12.75" customHeight="1">
      <c r="A646" s="309"/>
      <c r="B646" s="309"/>
      <c r="C646" s="309"/>
      <c r="D646" s="309"/>
      <c r="E646" s="309"/>
      <c r="F646" s="309"/>
      <c r="G646" s="309"/>
      <c r="H646" s="309"/>
      <c r="I646" s="309"/>
      <c r="J646" s="309"/>
      <c r="K646" s="310"/>
      <c r="L646" s="309"/>
      <c r="M646" s="309"/>
      <c r="N646" s="309"/>
      <c r="O646" s="309"/>
      <c r="P646" s="309"/>
      <c r="Q646" s="309"/>
      <c r="R646" s="309"/>
      <c r="S646" s="309"/>
      <c r="T646" s="309"/>
      <c r="U646" s="309"/>
      <c r="V646" s="309"/>
      <c r="W646" s="309"/>
      <c r="X646" s="309"/>
      <c r="Y646" s="309"/>
      <c r="Z646" s="309"/>
      <c r="AA646" s="309"/>
      <c r="AB646" s="309"/>
      <c r="AC646" s="309"/>
    </row>
    <row r="647" spans="1:29" ht="12.75" customHeight="1">
      <c r="A647" s="309"/>
      <c r="B647" s="309"/>
      <c r="C647" s="309"/>
      <c r="D647" s="309"/>
      <c r="E647" s="309"/>
      <c r="F647" s="309"/>
      <c r="G647" s="309"/>
      <c r="H647" s="309"/>
      <c r="I647" s="309"/>
      <c r="J647" s="309"/>
      <c r="K647" s="310"/>
      <c r="L647" s="309"/>
      <c r="M647" s="309"/>
      <c r="N647" s="309"/>
      <c r="O647" s="309"/>
      <c r="P647" s="309"/>
      <c r="Q647" s="309"/>
      <c r="R647" s="309"/>
      <c r="S647" s="309"/>
      <c r="T647" s="309"/>
      <c r="U647" s="309"/>
      <c r="V647" s="309"/>
      <c r="W647" s="309"/>
      <c r="X647" s="309"/>
      <c r="Y647" s="309"/>
      <c r="Z647" s="309"/>
      <c r="AA647" s="309"/>
      <c r="AB647" s="309"/>
      <c r="AC647" s="309"/>
    </row>
    <row r="648" spans="1:29" ht="12.75" customHeight="1">
      <c r="A648" s="309"/>
      <c r="B648" s="309"/>
      <c r="C648" s="309"/>
      <c r="D648" s="309"/>
      <c r="E648" s="309"/>
      <c r="F648" s="309"/>
      <c r="G648" s="309"/>
      <c r="H648" s="309"/>
      <c r="I648" s="309"/>
      <c r="J648" s="309"/>
      <c r="K648" s="310"/>
      <c r="L648" s="309"/>
      <c r="M648" s="309"/>
      <c r="N648" s="309"/>
      <c r="O648" s="309"/>
      <c r="P648" s="309"/>
      <c r="Q648" s="309"/>
      <c r="R648" s="309"/>
      <c r="S648" s="309"/>
      <c r="T648" s="309"/>
      <c r="U648" s="309"/>
      <c r="V648" s="309"/>
      <c r="W648" s="309"/>
      <c r="X648" s="309"/>
      <c r="Y648" s="309"/>
      <c r="Z648" s="309"/>
      <c r="AA648" s="309"/>
      <c r="AB648" s="309"/>
      <c r="AC648" s="309"/>
    </row>
    <row r="649" spans="1:29" ht="12.75" customHeight="1">
      <c r="A649" s="309"/>
      <c r="B649" s="309"/>
      <c r="C649" s="309"/>
      <c r="D649" s="309"/>
      <c r="E649" s="309"/>
      <c r="F649" s="309"/>
      <c r="G649" s="309"/>
      <c r="H649" s="309"/>
      <c r="I649" s="309"/>
      <c r="J649" s="309"/>
      <c r="K649" s="310"/>
      <c r="L649" s="309"/>
      <c r="M649" s="309"/>
      <c r="N649" s="309"/>
      <c r="O649" s="309"/>
      <c r="P649" s="309"/>
      <c r="Q649" s="309"/>
      <c r="R649" s="309"/>
      <c r="S649" s="309"/>
      <c r="T649" s="309"/>
      <c r="U649" s="309"/>
      <c r="V649" s="309"/>
      <c r="W649" s="309"/>
      <c r="X649" s="309"/>
      <c r="Y649" s="309"/>
      <c r="Z649" s="309"/>
      <c r="AA649" s="309"/>
      <c r="AB649" s="309"/>
      <c r="AC649" s="309"/>
    </row>
    <row r="650" spans="1:29" ht="12.75" customHeight="1">
      <c r="A650" s="309"/>
      <c r="B650" s="309"/>
      <c r="C650" s="309"/>
      <c r="D650" s="309"/>
      <c r="E650" s="309"/>
      <c r="F650" s="309"/>
      <c r="G650" s="309"/>
      <c r="H650" s="309"/>
      <c r="I650" s="309"/>
      <c r="J650" s="309"/>
      <c r="K650" s="310"/>
      <c r="L650" s="309"/>
      <c r="M650" s="309"/>
      <c r="N650" s="309"/>
      <c r="O650" s="309"/>
      <c r="P650" s="309"/>
      <c r="Q650" s="309"/>
      <c r="R650" s="309"/>
      <c r="S650" s="309"/>
      <c r="T650" s="309"/>
      <c r="U650" s="309"/>
      <c r="V650" s="309"/>
      <c r="W650" s="309"/>
      <c r="X650" s="309"/>
      <c r="Y650" s="309"/>
      <c r="Z650" s="309"/>
      <c r="AA650" s="309"/>
      <c r="AB650" s="309"/>
      <c r="AC650" s="309"/>
    </row>
    <row r="651" spans="1:29" ht="12.75" customHeight="1">
      <c r="A651" s="309"/>
      <c r="B651" s="309"/>
      <c r="C651" s="309"/>
      <c r="D651" s="309"/>
      <c r="E651" s="309"/>
      <c r="F651" s="309"/>
      <c r="G651" s="309"/>
      <c r="H651" s="309"/>
      <c r="I651" s="309"/>
      <c r="J651" s="309"/>
      <c r="K651" s="310"/>
      <c r="L651" s="309"/>
      <c r="M651" s="309"/>
      <c r="N651" s="309"/>
      <c r="O651" s="309"/>
      <c r="P651" s="309"/>
      <c r="Q651" s="309"/>
      <c r="R651" s="309"/>
      <c r="S651" s="309"/>
      <c r="T651" s="309"/>
      <c r="U651" s="309"/>
      <c r="V651" s="309"/>
      <c r="W651" s="309"/>
      <c r="X651" s="309"/>
      <c r="Y651" s="309"/>
      <c r="Z651" s="309"/>
      <c r="AA651" s="309"/>
      <c r="AB651" s="309"/>
      <c r="AC651" s="309"/>
    </row>
    <row r="652" spans="1:29" ht="12.75" customHeight="1">
      <c r="A652" s="309"/>
      <c r="B652" s="309"/>
      <c r="C652" s="309"/>
      <c r="D652" s="309"/>
      <c r="E652" s="309"/>
      <c r="F652" s="309"/>
      <c r="G652" s="309"/>
      <c r="H652" s="309"/>
      <c r="I652" s="309"/>
      <c r="J652" s="309"/>
      <c r="K652" s="310"/>
      <c r="L652" s="309"/>
      <c r="M652" s="309"/>
      <c r="N652" s="309"/>
      <c r="O652" s="309"/>
      <c r="P652" s="309"/>
      <c r="Q652" s="309"/>
      <c r="R652" s="309"/>
      <c r="S652" s="309"/>
      <c r="T652" s="309"/>
      <c r="U652" s="309"/>
      <c r="V652" s="309"/>
      <c r="W652" s="309"/>
      <c r="X652" s="309"/>
      <c r="Y652" s="309"/>
      <c r="Z652" s="309"/>
      <c r="AA652" s="309"/>
      <c r="AB652" s="309"/>
      <c r="AC652" s="309"/>
    </row>
    <row r="653" spans="1:29" ht="12.75" customHeight="1">
      <c r="A653" s="309"/>
      <c r="B653" s="309"/>
      <c r="C653" s="309"/>
      <c r="D653" s="309"/>
      <c r="E653" s="309"/>
      <c r="F653" s="309"/>
      <c r="G653" s="309"/>
      <c r="H653" s="309"/>
      <c r="I653" s="309"/>
      <c r="J653" s="309"/>
      <c r="K653" s="310"/>
      <c r="L653" s="309"/>
      <c r="M653" s="309"/>
      <c r="N653" s="309"/>
      <c r="O653" s="309"/>
      <c r="P653" s="309"/>
      <c r="Q653" s="309"/>
      <c r="R653" s="309"/>
      <c r="S653" s="309"/>
      <c r="T653" s="309"/>
      <c r="U653" s="309"/>
      <c r="V653" s="309"/>
      <c r="W653" s="309"/>
      <c r="X653" s="309"/>
      <c r="Y653" s="309"/>
      <c r="Z653" s="309"/>
      <c r="AA653" s="309"/>
      <c r="AB653" s="309"/>
      <c r="AC653" s="309"/>
    </row>
    <row r="654" spans="1:29" ht="12.75" customHeight="1">
      <c r="A654" s="309"/>
      <c r="B654" s="309"/>
      <c r="C654" s="309"/>
      <c r="D654" s="309"/>
      <c r="E654" s="309"/>
      <c r="F654" s="309"/>
      <c r="G654" s="309"/>
      <c r="H654" s="309"/>
      <c r="I654" s="309"/>
      <c r="J654" s="309"/>
      <c r="K654" s="310"/>
      <c r="L654" s="309"/>
      <c r="M654" s="309"/>
      <c r="N654" s="309"/>
      <c r="O654" s="309"/>
      <c r="P654" s="309"/>
      <c r="Q654" s="309"/>
      <c r="R654" s="309"/>
      <c r="S654" s="309"/>
      <c r="T654" s="309"/>
      <c r="U654" s="309"/>
      <c r="V654" s="309"/>
      <c r="W654" s="309"/>
      <c r="X654" s="309"/>
      <c r="Y654" s="309"/>
      <c r="Z654" s="309"/>
      <c r="AA654" s="309"/>
      <c r="AB654" s="309"/>
      <c r="AC654" s="309"/>
    </row>
    <row r="655" spans="1:29" ht="12.75" customHeight="1">
      <c r="A655" s="309"/>
      <c r="B655" s="309"/>
      <c r="C655" s="309"/>
      <c r="D655" s="309"/>
      <c r="E655" s="309"/>
      <c r="F655" s="309"/>
      <c r="G655" s="309"/>
      <c r="H655" s="309"/>
      <c r="I655" s="309"/>
      <c r="J655" s="309"/>
      <c r="K655" s="310"/>
      <c r="L655" s="309"/>
      <c r="M655" s="309"/>
      <c r="N655" s="309"/>
      <c r="O655" s="309"/>
      <c r="P655" s="309"/>
      <c r="Q655" s="309"/>
      <c r="R655" s="309"/>
      <c r="S655" s="309"/>
      <c r="T655" s="309"/>
      <c r="U655" s="309"/>
      <c r="V655" s="309"/>
      <c r="W655" s="309"/>
      <c r="X655" s="309"/>
      <c r="Y655" s="309"/>
      <c r="Z655" s="309"/>
      <c r="AA655" s="309"/>
      <c r="AB655" s="309"/>
      <c r="AC655" s="309"/>
    </row>
    <row r="656" spans="1:29" ht="12.75" customHeight="1">
      <c r="A656" s="309"/>
      <c r="B656" s="309"/>
      <c r="C656" s="309"/>
      <c r="D656" s="309"/>
      <c r="E656" s="309"/>
      <c r="F656" s="309"/>
      <c r="G656" s="309"/>
      <c r="H656" s="309"/>
      <c r="I656" s="309"/>
      <c r="J656" s="309"/>
      <c r="K656" s="310"/>
      <c r="L656" s="309"/>
      <c r="M656" s="309"/>
      <c r="N656" s="309"/>
      <c r="O656" s="309"/>
      <c r="P656" s="309"/>
      <c r="Q656" s="309"/>
      <c r="R656" s="309"/>
      <c r="S656" s="309"/>
      <c r="T656" s="309"/>
      <c r="U656" s="309"/>
      <c r="V656" s="309"/>
      <c r="W656" s="309"/>
      <c r="X656" s="309"/>
      <c r="Y656" s="309"/>
      <c r="Z656" s="309"/>
      <c r="AA656" s="309"/>
      <c r="AB656" s="309"/>
      <c r="AC656" s="309"/>
    </row>
    <row r="657" spans="1:29" ht="12.75" customHeight="1">
      <c r="A657" s="309"/>
      <c r="B657" s="309"/>
      <c r="C657" s="309"/>
      <c r="D657" s="309"/>
      <c r="E657" s="309"/>
      <c r="F657" s="309"/>
      <c r="G657" s="309"/>
      <c r="H657" s="309"/>
      <c r="I657" s="309"/>
      <c r="J657" s="309"/>
      <c r="K657" s="310"/>
      <c r="L657" s="309"/>
      <c r="M657" s="309"/>
      <c r="N657" s="309"/>
      <c r="O657" s="309"/>
      <c r="P657" s="309"/>
      <c r="Q657" s="309"/>
      <c r="R657" s="309"/>
      <c r="S657" s="309"/>
      <c r="T657" s="309"/>
      <c r="U657" s="309"/>
      <c r="V657" s="309"/>
      <c r="W657" s="309"/>
      <c r="X657" s="309"/>
      <c r="Y657" s="309"/>
      <c r="Z657" s="309"/>
      <c r="AA657" s="309"/>
      <c r="AB657" s="309"/>
      <c r="AC657" s="309"/>
    </row>
    <row r="658" spans="1:29" ht="12.75" customHeight="1">
      <c r="A658" s="309"/>
      <c r="B658" s="309"/>
      <c r="C658" s="309"/>
      <c r="D658" s="309"/>
      <c r="E658" s="309"/>
      <c r="F658" s="309"/>
      <c r="G658" s="309"/>
      <c r="H658" s="309"/>
      <c r="I658" s="309"/>
      <c r="J658" s="309"/>
      <c r="K658" s="310"/>
      <c r="L658" s="309"/>
      <c r="M658" s="309"/>
      <c r="N658" s="309"/>
      <c r="O658" s="309"/>
      <c r="P658" s="309"/>
      <c r="Q658" s="309"/>
      <c r="R658" s="309"/>
      <c r="S658" s="309"/>
      <c r="T658" s="309"/>
      <c r="U658" s="309"/>
      <c r="V658" s="309"/>
      <c r="W658" s="309"/>
      <c r="X658" s="309"/>
      <c r="Y658" s="309"/>
      <c r="Z658" s="309"/>
      <c r="AA658" s="309"/>
      <c r="AB658" s="309"/>
      <c r="AC658" s="309"/>
    </row>
    <row r="659" spans="1:29" ht="12.75" customHeight="1">
      <c r="A659" s="309"/>
      <c r="B659" s="309"/>
      <c r="C659" s="309"/>
      <c r="D659" s="309"/>
      <c r="E659" s="309"/>
      <c r="F659" s="309"/>
      <c r="G659" s="309"/>
      <c r="H659" s="309"/>
      <c r="I659" s="309"/>
      <c r="J659" s="309"/>
      <c r="K659" s="310"/>
      <c r="L659" s="309"/>
      <c r="M659" s="309"/>
      <c r="N659" s="309"/>
      <c r="O659" s="309"/>
      <c r="P659" s="309"/>
      <c r="Q659" s="309"/>
      <c r="R659" s="309"/>
      <c r="S659" s="309"/>
      <c r="T659" s="309"/>
      <c r="U659" s="309"/>
      <c r="V659" s="309"/>
      <c r="W659" s="309"/>
      <c r="X659" s="309"/>
      <c r="Y659" s="309"/>
      <c r="Z659" s="309"/>
      <c r="AA659" s="309"/>
      <c r="AB659" s="309"/>
      <c r="AC659" s="309"/>
    </row>
    <row r="660" spans="1:29" ht="12.75" customHeight="1">
      <c r="A660" s="309"/>
      <c r="B660" s="309"/>
      <c r="C660" s="309"/>
      <c r="D660" s="309"/>
      <c r="E660" s="309"/>
      <c r="F660" s="309"/>
      <c r="G660" s="309"/>
      <c r="H660" s="309"/>
      <c r="I660" s="309"/>
      <c r="J660" s="309"/>
      <c r="K660" s="310"/>
      <c r="L660" s="309"/>
      <c r="M660" s="309"/>
      <c r="N660" s="309"/>
      <c r="O660" s="309"/>
      <c r="P660" s="309"/>
      <c r="Q660" s="309"/>
      <c r="R660" s="309"/>
      <c r="S660" s="309"/>
      <c r="T660" s="309"/>
      <c r="U660" s="309"/>
      <c r="V660" s="309"/>
      <c r="W660" s="309"/>
      <c r="X660" s="309"/>
      <c r="Y660" s="309"/>
      <c r="Z660" s="309"/>
      <c r="AA660" s="309"/>
      <c r="AB660" s="309"/>
      <c r="AC660" s="309"/>
    </row>
    <row r="661" spans="1:29" ht="12.75" customHeight="1">
      <c r="A661" s="309"/>
      <c r="B661" s="309"/>
      <c r="C661" s="309"/>
      <c r="D661" s="309"/>
      <c r="E661" s="309"/>
      <c r="F661" s="309"/>
      <c r="G661" s="309"/>
      <c r="H661" s="309"/>
      <c r="I661" s="309"/>
      <c r="J661" s="309"/>
      <c r="K661" s="310"/>
      <c r="L661" s="309"/>
      <c r="M661" s="309"/>
      <c r="N661" s="309"/>
      <c r="O661" s="309"/>
      <c r="P661" s="309"/>
      <c r="Q661" s="309"/>
      <c r="R661" s="309"/>
      <c r="S661" s="309"/>
      <c r="T661" s="309"/>
      <c r="U661" s="309"/>
      <c r="V661" s="309"/>
      <c r="W661" s="309"/>
      <c r="X661" s="309"/>
      <c r="Y661" s="309"/>
      <c r="Z661" s="309"/>
      <c r="AA661" s="309"/>
      <c r="AB661" s="309"/>
      <c r="AC661" s="309"/>
    </row>
    <row r="662" spans="1:29" ht="12.75" customHeight="1">
      <c r="A662" s="309"/>
      <c r="B662" s="309"/>
      <c r="C662" s="309"/>
      <c r="D662" s="309"/>
      <c r="E662" s="309"/>
      <c r="F662" s="309"/>
      <c r="G662" s="309"/>
      <c r="H662" s="309"/>
      <c r="I662" s="309"/>
      <c r="J662" s="309"/>
      <c r="K662" s="310"/>
      <c r="L662" s="309"/>
      <c r="M662" s="309"/>
      <c r="N662" s="309"/>
      <c r="O662" s="309"/>
      <c r="P662" s="309"/>
      <c r="Q662" s="309"/>
      <c r="R662" s="309"/>
      <c r="S662" s="309"/>
      <c r="T662" s="309"/>
      <c r="U662" s="309"/>
      <c r="V662" s="309"/>
      <c r="W662" s="309"/>
      <c r="X662" s="309"/>
      <c r="Y662" s="309"/>
      <c r="Z662" s="309"/>
      <c r="AA662" s="309"/>
      <c r="AB662" s="309"/>
      <c r="AC662" s="309"/>
    </row>
    <row r="663" spans="1:29" ht="12.75" customHeight="1">
      <c r="A663" s="309"/>
      <c r="B663" s="309"/>
      <c r="C663" s="309"/>
      <c r="D663" s="309"/>
      <c r="E663" s="309"/>
      <c r="F663" s="309"/>
      <c r="G663" s="309"/>
      <c r="H663" s="309"/>
      <c r="I663" s="309"/>
      <c r="J663" s="309"/>
      <c r="K663" s="310"/>
      <c r="L663" s="309"/>
      <c r="M663" s="309"/>
      <c r="N663" s="309"/>
      <c r="O663" s="309"/>
      <c r="P663" s="309"/>
      <c r="Q663" s="309"/>
      <c r="R663" s="309"/>
      <c r="S663" s="309"/>
      <c r="T663" s="309"/>
      <c r="U663" s="309"/>
      <c r="V663" s="309"/>
      <c r="W663" s="309"/>
      <c r="X663" s="309"/>
      <c r="Y663" s="309"/>
      <c r="Z663" s="309"/>
      <c r="AA663" s="309"/>
      <c r="AB663" s="309"/>
      <c r="AC663" s="309"/>
    </row>
    <row r="664" spans="1:29" ht="12.75" customHeight="1">
      <c r="A664" s="309"/>
      <c r="B664" s="309"/>
      <c r="C664" s="309"/>
      <c r="D664" s="309"/>
      <c r="E664" s="309"/>
      <c r="F664" s="309"/>
      <c r="G664" s="309"/>
      <c r="H664" s="309"/>
      <c r="I664" s="309"/>
      <c r="J664" s="309"/>
      <c r="K664" s="310"/>
      <c r="L664" s="309"/>
      <c r="M664" s="309"/>
      <c r="N664" s="309"/>
      <c r="O664" s="309"/>
      <c r="P664" s="309"/>
      <c r="Q664" s="309"/>
      <c r="R664" s="309"/>
      <c r="S664" s="309"/>
      <c r="T664" s="309"/>
      <c r="U664" s="309"/>
      <c r="V664" s="309"/>
      <c r="W664" s="309"/>
      <c r="X664" s="309"/>
      <c r="Y664" s="309"/>
      <c r="Z664" s="309"/>
      <c r="AA664" s="309"/>
      <c r="AB664" s="309"/>
      <c r="AC664" s="309"/>
    </row>
    <row r="665" spans="1:29" ht="12.75" customHeight="1">
      <c r="A665" s="309"/>
      <c r="B665" s="309"/>
      <c r="C665" s="309"/>
      <c r="D665" s="309"/>
      <c r="E665" s="309"/>
      <c r="F665" s="309"/>
      <c r="G665" s="309"/>
      <c r="H665" s="309"/>
      <c r="I665" s="309"/>
      <c r="J665" s="309"/>
      <c r="K665" s="310"/>
      <c r="L665" s="309"/>
      <c r="M665" s="309"/>
      <c r="N665" s="309"/>
      <c r="O665" s="309"/>
      <c r="P665" s="309"/>
      <c r="Q665" s="309"/>
      <c r="R665" s="309"/>
      <c r="S665" s="309"/>
      <c r="T665" s="309"/>
      <c r="U665" s="309"/>
      <c r="V665" s="309"/>
      <c r="W665" s="309"/>
      <c r="X665" s="309"/>
      <c r="Y665" s="309"/>
      <c r="Z665" s="309"/>
      <c r="AA665" s="309"/>
      <c r="AB665" s="309"/>
      <c r="AC665" s="309"/>
    </row>
    <row r="666" spans="1:29" ht="12.75" customHeight="1">
      <c r="A666" s="309"/>
      <c r="B666" s="309"/>
      <c r="C666" s="309"/>
      <c r="D666" s="309"/>
      <c r="E666" s="309"/>
      <c r="F666" s="309"/>
      <c r="G666" s="309"/>
      <c r="H666" s="309"/>
      <c r="I666" s="309"/>
      <c r="J666" s="309"/>
      <c r="K666" s="310"/>
      <c r="L666" s="309"/>
      <c r="M666" s="309"/>
      <c r="N666" s="309"/>
      <c r="O666" s="309"/>
      <c r="P666" s="309"/>
      <c r="Q666" s="309"/>
      <c r="R666" s="309"/>
      <c r="S666" s="309"/>
      <c r="T666" s="309"/>
      <c r="U666" s="309"/>
      <c r="V666" s="309"/>
      <c r="W666" s="309"/>
      <c r="X666" s="309"/>
      <c r="Y666" s="309"/>
      <c r="Z666" s="309"/>
      <c r="AA666" s="309"/>
      <c r="AB666" s="309"/>
      <c r="AC666" s="309"/>
    </row>
    <row r="667" spans="1:29" ht="12.75" customHeight="1">
      <c r="A667" s="309"/>
      <c r="B667" s="309"/>
      <c r="C667" s="309"/>
      <c r="D667" s="309"/>
      <c r="E667" s="309"/>
      <c r="F667" s="309"/>
      <c r="G667" s="309"/>
      <c r="H667" s="309"/>
      <c r="I667" s="309"/>
      <c r="J667" s="309"/>
      <c r="K667" s="310"/>
      <c r="L667" s="309"/>
      <c r="M667" s="309"/>
      <c r="N667" s="309"/>
      <c r="O667" s="309"/>
      <c r="P667" s="309"/>
      <c r="Q667" s="309"/>
      <c r="R667" s="309"/>
      <c r="S667" s="309"/>
      <c r="T667" s="309"/>
      <c r="U667" s="309"/>
      <c r="V667" s="309"/>
      <c r="W667" s="309"/>
      <c r="X667" s="309"/>
      <c r="Y667" s="309"/>
      <c r="Z667" s="309"/>
      <c r="AA667" s="309"/>
      <c r="AB667" s="309"/>
      <c r="AC667" s="309"/>
    </row>
    <row r="668" spans="1:29" ht="12.75" customHeight="1">
      <c r="A668" s="309"/>
      <c r="B668" s="309"/>
      <c r="C668" s="309"/>
      <c r="D668" s="309"/>
      <c r="E668" s="309"/>
      <c r="F668" s="309"/>
      <c r="G668" s="309"/>
      <c r="H668" s="309"/>
      <c r="I668" s="309"/>
      <c r="J668" s="309"/>
      <c r="K668" s="310"/>
      <c r="L668" s="309"/>
      <c r="M668" s="309"/>
      <c r="N668" s="309"/>
      <c r="O668" s="309"/>
      <c r="P668" s="309"/>
      <c r="Q668" s="309"/>
      <c r="R668" s="309"/>
      <c r="S668" s="309"/>
      <c r="T668" s="309"/>
      <c r="U668" s="309"/>
      <c r="V668" s="309"/>
      <c r="W668" s="309"/>
      <c r="X668" s="309"/>
      <c r="Y668" s="309"/>
      <c r="Z668" s="309"/>
      <c r="AA668" s="309"/>
      <c r="AB668" s="309"/>
      <c r="AC668" s="309"/>
    </row>
    <row r="669" spans="1:29" ht="12.75" customHeight="1">
      <c r="A669" s="309"/>
      <c r="B669" s="309"/>
      <c r="C669" s="309"/>
      <c r="D669" s="309"/>
      <c r="E669" s="309"/>
      <c r="F669" s="309"/>
      <c r="G669" s="309"/>
      <c r="H669" s="309"/>
      <c r="I669" s="309"/>
      <c r="J669" s="309"/>
      <c r="K669" s="310"/>
      <c r="L669" s="309"/>
      <c r="M669" s="309"/>
      <c r="N669" s="309"/>
      <c r="O669" s="309"/>
      <c r="P669" s="309"/>
      <c r="Q669" s="309"/>
      <c r="R669" s="309"/>
      <c r="S669" s="309"/>
      <c r="T669" s="309"/>
      <c r="U669" s="309"/>
      <c r="V669" s="309"/>
      <c r="W669" s="309"/>
      <c r="X669" s="309"/>
      <c r="Y669" s="309"/>
      <c r="Z669" s="309"/>
      <c r="AA669" s="309"/>
      <c r="AB669" s="309"/>
      <c r="AC669" s="309"/>
    </row>
    <row r="670" spans="1:29" ht="12.75" customHeight="1">
      <c r="A670" s="309"/>
      <c r="B670" s="309"/>
      <c r="C670" s="309"/>
      <c r="D670" s="309"/>
      <c r="E670" s="309"/>
      <c r="F670" s="309"/>
      <c r="G670" s="309"/>
      <c r="H670" s="309"/>
      <c r="I670" s="309"/>
      <c r="J670" s="309"/>
      <c r="K670" s="310"/>
      <c r="L670" s="309"/>
      <c r="M670" s="309"/>
      <c r="N670" s="309"/>
      <c r="O670" s="309"/>
      <c r="P670" s="309"/>
      <c r="Q670" s="309"/>
      <c r="R670" s="309"/>
      <c r="S670" s="309"/>
      <c r="T670" s="309"/>
      <c r="U670" s="309"/>
      <c r="V670" s="309"/>
      <c r="W670" s="309"/>
      <c r="X670" s="309"/>
      <c r="Y670" s="309"/>
      <c r="Z670" s="309"/>
      <c r="AA670" s="309"/>
      <c r="AB670" s="309"/>
      <c r="AC670" s="309"/>
    </row>
    <row r="671" spans="1:29" ht="12.75" customHeight="1">
      <c r="A671" s="309"/>
      <c r="B671" s="309"/>
      <c r="C671" s="309"/>
      <c r="D671" s="309"/>
      <c r="E671" s="309"/>
      <c r="F671" s="309"/>
      <c r="G671" s="309"/>
      <c r="H671" s="309"/>
      <c r="I671" s="309"/>
      <c r="J671" s="309"/>
      <c r="K671" s="310"/>
      <c r="L671" s="309"/>
      <c r="M671" s="309"/>
      <c r="N671" s="309"/>
      <c r="O671" s="309"/>
      <c r="P671" s="309"/>
      <c r="Q671" s="309"/>
      <c r="R671" s="309"/>
      <c r="S671" s="309"/>
      <c r="T671" s="309"/>
      <c r="U671" s="309"/>
      <c r="V671" s="309"/>
      <c r="W671" s="309"/>
      <c r="X671" s="309"/>
      <c r="Y671" s="309"/>
      <c r="Z671" s="309"/>
      <c r="AA671" s="309"/>
      <c r="AB671" s="309"/>
      <c r="AC671" s="309"/>
    </row>
    <row r="672" spans="1:29" ht="12.75" customHeight="1">
      <c r="A672" s="309"/>
      <c r="B672" s="309"/>
      <c r="C672" s="309"/>
      <c r="D672" s="309"/>
      <c r="E672" s="309"/>
      <c r="F672" s="309"/>
      <c r="G672" s="309"/>
      <c r="H672" s="309"/>
      <c r="I672" s="309"/>
      <c r="J672" s="309"/>
      <c r="K672" s="310"/>
      <c r="L672" s="309"/>
      <c r="M672" s="309"/>
      <c r="N672" s="309"/>
      <c r="O672" s="309"/>
      <c r="P672" s="309"/>
      <c r="Q672" s="309"/>
      <c r="R672" s="309"/>
      <c r="S672" s="309"/>
      <c r="T672" s="309"/>
      <c r="U672" s="309"/>
      <c r="V672" s="309"/>
      <c r="W672" s="309"/>
      <c r="X672" s="309"/>
      <c r="Y672" s="309"/>
      <c r="Z672" s="309"/>
      <c r="AA672" s="309"/>
      <c r="AB672" s="309"/>
      <c r="AC672" s="309"/>
    </row>
    <row r="673" spans="1:29" ht="12.75" customHeight="1">
      <c r="A673" s="309"/>
      <c r="B673" s="309"/>
      <c r="C673" s="309"/>
      <c r="D673" s="309"/>
      <c r="E673" s="309"/>
      <c r="F673" s="309"/>
      <c r="G673" s="309"/>
      <c r="H673" s="309"/>
      <c r="I673" s="309"/>
      <c r="J673" s="309"/>
      <c r="K673" s="310"/>
      <c r="L673" s="309"/>
      <c r="M673" s="309"/>
      <c r="N673" s="309"/>
      <c r="O673" s="309"/>
      <c r="P673" s="309"/>
      <c r="Q673" s="309"/>
      <c r="R673" s="309"/>
      <c r="S673" s="309"/>
      <c r="T673" s="309"/>
      <c r="U673" s="309"/>
      <c r="V673" s="309"/>
      <c r="W673" s="309"/>
      <c r="X673" s="309"/>
      <c r="Y673" s="309"/>
      <c r="Z673" s="309"/>
      <c r="AA673" s="309"/>
      <c r="AB673" s="309"/>
      <c r="AC673" s="309"/>
    </row>
    <row r="674" spans="1:29" ht="12.75" customHeight="1">
      <c r="A674" s="309"/>
      <c r="B674" s="309"/>
      <c r="C674" s="309"/>
      <c r="D674" s="309"/>
      <c r="E674" s="309"/>
      <c r="F674" s="309"/>
      <c r="G674" s="309"/>
      <c r="H674" s="309"/>
      <c r="I674" s="309"/>
      <c r="J674" s="309"/>
      <c r="K674" s="310"/>
      <c r="L674" s="309"/>
      <c r="M674" s="309"/>
      <c r="N674" s="309"/>
      <c r="O674" s="309"/>
      <c r="P674" s="309"/>
      <c r="Q674" s="309"/>
      <c r="R674" s="309"/>
      <c r="S674" s="309"/>
      <c r="T674" s="309"/>
      <c r="U674" s="309"/>
      <c r="V674" s="309"/>
      <c r="W674" s="309"/>
      <c r="X674" s="309"/>
      <c r="Y674" s="309"/>
      <c r="Z674" s="309"/>
      <c r="AA674" s="309"/>
      <c r="AB674" s="309"/>
      <c r="AC674" s="309"/>
    </row>
    <row r="675" spans="1:29" ht="12.75" customHeight="1">
      <c r="A675" s="309"/>
      <c r="B675" s="309"/>
      <c r="C675" s="309"/>
      <c r="D675" s="309"/>
      <c r="E675" s="309"/>
      <c r="F675" s="309"/>
      <c r="G675" s="309"/>
      <c r="H675" s="309"/>
      <c r="I675" s="309"/>
      <c r="J675" s="309"/>
      <c r="K675" s="310"/>
      <c r="L675" s="309"/>
      <c r="M675" s="309"/>
      <c r="N675" s="309"/>
      <c r="O675" s="309"/>
      <c r="P675" s="309"/>
      <c r="Q675" s="309"/>
      <c r="R675" s="309"/>
      <c r="S675" s="309"/>
      <c r="T675" s="309"/>
      <c r="U675" s="309"/>
      <c r="V675" s="309"/>
      <c r="W675" s="309"/>
      <c r="X675" s="309"/>
      <c r="Y675" s="309"/>
      <c r="Z675" s="309"/>
      <c r="AA675" s="309"/>
      <c r="AB675" s="309"/>
      <c r="AC675" s="309"/>
    </row>
    <row r="676" spans="1:29" ht="12.75" customHeight="1">
      <c r="A676" s="309"/>
      <c r="B676" s="309"/>
      <c r="C676" s="309"/>
      <c r="D676" s="309"/>
      <c r="E676" s="309"/>
      <c r="F676" s="309"/>
      <c r="G676" s="309"/>
      <c r="H676" s="309"/>
      <c r="I676" s="309"/>
      <c r="J676" s="309"/>
      <c r="K676" s="310"/>
      <c r="L676" s="309"/>
      <c r="M676" s="309"/>
      <c r="N676" s="309"/>
      <c r="O676" s="309"/>
      <c r="P676" s="309"/>
      <c r="Q676" s="309"/>
      <c r="R676" s="309"/>
      <c r="S676" s="309"/>
      <c r="T676" s="309"/>
      <c r="U676" s="309"/>
      <c r="V676" s="309"/>
      <c r="W676" s="309"/>
      <c r="X676" s="309"/>
      <c r="Y676" s="309"/>
      <c r="Z676" s="309"/>
      <c r="AA676" s="309"/>
      <c r="AB676" s="309"/>
      <c r="AC676" s="309"/>
    </row>
    <row r="677" spans="1:29" ht="12.75" customHeight="1">
      <c r="A677" s="309"/>
      <c r="B677" s="309"/>
      <c r="C677" s="309"/>
      <c r="D677" s="309"/>
      <c r="E677" s="309"/>
      <c r="F677" s="309"/>
      <c r="G677" s="309"/>
      <c r="H677" s="309"/>
      <c r="I677" s="309"/>
      <c r="J677" s="309"/>
      <c r="K677" s="310"/>
      <c r="L677" s="309"/>
      <c r="M677" s="309"/>
      <c r="N677" s="309"/>
      <c r="O677" s="309"/>
      <c r="P677" s="309"/>
      <c r="Q677" s="309"/>
      <c r="R677" s="309"/>
      <c r="S677" s="309"/>
      <c r="T677" s="309"/>
      <c r="U677" s="309"/>
      <c r="V677" s="309"/>
      <c r="W677" s="309"/>
      <c r="X677" s="309"/>
      <c r="Y677" s="309"/>
      <c r="Z677" s="309"/>
      <c r="AA677" s="309"/>
      <c r="AB677" s="309"/>
      <c r="AC677" s="309"/>
    </row>
    <row r="678" spans="1:29" ht="12.75" customHeight="1">
      <c r="A678" s="309"/>
      <c r="B678" s="309"/>
      <c r="C678" s="309"/>
      <c r="D678" s="309"/>
      <c r="E678" s="309"/>
      <c r="F678" s="309"/>
      <c r="G678" s="309"/>
      <c r="H678" s="309"/>
      <c r="I678" s="309"/>
      <c r="J678" s="309"/>
      <c r="K678" s="310"/>
      <c r="L678" s="309"/>
      <c r="M678" s="309"/>
      <c r="N678" s="309"/>
      <c r="O678" s="309"/>
      <c r="P678" s="309"/>
      <c r="Q678" s="309"/>
      <c r="R678" s="309"/>
      <c r="S678" s="309"/>
      <c r="T678" s="309"/>
      <c r="U678" s="309"/>
      <c r="V678" s="309"/>
      <c r="W678" s="309"/>
      <c r="X678" s="309"/>
      <c r="Y678" s="309"/>
      <c r="Z678" s="309"/>
      <c r="AA678" s="309"/>
      <c r="AB678" s="309"/>
      <c r="AC678" s="309"/>
    </row>
    <row r="679" spans="1:29" ht="12.75" customHeight="1">
      <c r="A679" s="309"/>
      <c r="B679" s="309"/>
      <c r="C679" s="309"/>
      <c r="D679" s="309"/>
      <c r="E679" s="309"/>
      <c r="F679" s="309"/>
      <c r="G679" s="309"/>
      <c r="H679" s="309"/>
      <c r="I679" s="309"/>
      <c r="J679" s="309"/>
      <c r="K679" s="310"/>
      <c r="L679" s="309"/>
      <c r="M679" s="309"/>
      <c r="N679" s="309"/>
      <c r="O679" s="309"/>
      <c r="P679" s="309"/>
      <c r="Q679" s="309"/>
      <c r="R679" s="309"/>
      <c r="S679" s="309"/>
      <c r="T679" s="309"/>
      <c r="U679" s="309"/>
      <c r="V679" s="309"/>
      <c r="W679" s="309"/>
      <c r="X679" s="309"/>
      <c r="Y679" s="309"/>
      <c r="Z679" s="309"/>
      <c r="AA679" s="309"/>
      <c r="AB679" s="309"/>
      <c r="AC679" s="309"/>
    </row>
    <row r="680" spans="1:29" ht="12.75" customHeight="1">
      <c r="A680" s="309"/>
      <c r="B680" s="309"/>
      <c r="C680" s="309"/>
      <c r="D680" s="309"/>
      <c r="E680" s="309"/>
      <c r="F680" s="309"/>
      <c r="G680" s="309"/>
      <c r="H680" s="309"/>
      <c r="I680" s="309"/>
      <c r="J680" s="309"/>
      <c r="K680" s="310"/>
      <c r="L680" s="309"/>
      <c r="M680" s="309"/>
      <c r="N680" s="309"/>
      <c r="O680" s="309"/>
      <c r="P680" s="309"/>
      <c r="Q680" s="309"/>
      <c r="R680" s="309"/>
      <c r="S680" s="309"/>
      <c r="T680" s="309"/>
      <c r="U680" s="309"/>
      <c r="V680" s="309"/>
      <c r="W680" s="309"/>
      <c r="X680" s="309"/>
      <c r="Y680" s="309"/>
      <c r="Z680" s="309"/>
      <c r="AA680" s="309"/>
      <c r="AB680" s="309"/>
      <c r="AC680" s="309"/>
    </row>
    <row r="681" spans="1:29" ht="12.75" customHeight="1">
      <c r="A681" s="309"/>
      <c r="B681" s="309"/>
      <c r="C681" s="309"/>
      <c r="D681" s="309"/>
      <c r="E681" s="309"/>
      <c r="F681" s="309"/>
      <c r="G681" s="309"/>
      <c r="H681" s="309"/>
      <c r="I681" s="309"/>
      <c r="J681" s="309"/>
      <c r="K681" s="310"/>
      <c r="L681" s="309"/>
      <c r="M681" s="309"/>
      <c r="N681" s="309"/>
      <c r="O681" s="309"/>
      <c r="P681" s="309"/>
      <c r="Q681" s="309"/>
      <c r="R681" s="309"/>
      <c r="S681" s="309"/>
      <c r="T681" s="309"/>
      <c r="U681" s="309"/>
      <c r="V681" s="309"/>
      <c r="W681" s="309"/>
      <c r="X681" s="309"/>
      <c r="Y681" s="309"/>
      <c r="Z681" s="309"/>
      <c r="AA681" s="309"/>
      <c r="AB681" s="309"/>
      <c r="AC681" s="309"/>
    </row>
    <row r="682" spans="1:29" ht="12.75" customHeight="1">
      <c r="A682" s="309"/>
      <c r="B682" s="309"/>
      <c r="C682" s="309"/>
      <c r="D682" s="309"/>
      <c r="E682" s="309"/>
      <c r="F682" s="309"/>
      <c r="G682" s="309"/>
      <c r="H682" s="309"/>
      <c r="I682" s="309"/>
      <c r="J682" s="309"/>
      <c r="K682" s="310"/>
      <c r="L682" s="309"/>
      <c r="M682" s="309"/>
      <c r="N682" s="309"/>
      <c r="O682" s="309"/>
      <c r="P682" s="309"/>
      <c r="Q682" s="309"/>
      <c r="R682" s="309"/>
      <c r="S682" s="309"/>
      <c r="T682" s="309"/>
      <c r="U682" s="309"/>
      <c r="V682" s="309"/>
      <c r="W682" s="309"/>
      <c r="X682" s="309"/>
      <c r="Y682" s="309"/>
      <c r="Z682" s="309"/>
      <c r="AA682" s="309"/>
      <c r="AB682" s="309"/>
      <c r="AC682" s="309"/>
    </row>
    <row r="683" spans="1:29" ht="12.75" customHeight="1">
      <c r="A683" s="309"/>
      <c r="B683" s="309"/>
      <c r="C683" s="309"/>
      <c r="D683" s="309"/>
      <c r="E683" s="309"/>
      <c r="F683" s="309"/>
      <c r="G683" s="309"/>
      <c r="H683" s="309"/>
      <c r="I683" s="309"/>
      <c r="J683" s="309"/>
      <c r="K683" s="310"/>
      <c r="L683" s="309"/>
      <c r="M683" s="309"/>
      <c r="N683" s="309"/>
      <c r="O683" s="309"/>
      <c r="P683" s="309"/>
      <c r="Q683" s="309"/>
      <c r="R683" s="309"/>
      <c r="S683" s="309"/>
      <c r="T683" s="309"/>
      <c r="U683" s="309"/>
      <c r="V683" s="309"/>
      <c r="W683" s="309"/>
      <c r="X683" s="309"/>
      <c r="Y683" s="309"/>
      <c r="Z683" s="309"/>
      <c r="AA683" s="309"/>
      <c r="AB683" s="309"/>
      <c r="AC683" s="309"/>
    </row>
    <row r="684" spans="1:29" ht="12.75" customHeight="1">
      <c r="A684" s="309"/>
      <c r="B684" s="309"/>
      <c r="C684" s="309"/>
      <c r="D684" s="309"/>
      <c r="E684" s="309"/>
      <c r="F684" s="309"/>
      <c r="G684" s="309"/>
      <c r="H684" s="309"/>
      <c r="I684" s="309"/>
      <c r="J684" s="309"/>
      <c r="K684" s="310"/>
      <c r="L684" s="309"/>
      <c r="M684" s="309"/>
      <c r="N684" s="309"/>
      <c r="O684" s="309"/>
      <c r="P684" s="309"/>
      <c r="Q684" s="309"/>
      <c r="R684" s="309"/>
      <c r="S684" s="309"/>
      <c r="T684" s="309"/>
      <c r="U684" s="309"/>
      <c r="V684" s="309"/>
      <c r="W684" s="309"/>
      <c r="X684" s="309"/>
      <c r="Y684" s="309"/>
      <c r="Z684" s="309"/>
      <c r="AA684" s="309"/>
      <c r="AB684" s="309"/>
      <c r="AC684" s="309"/>
    </row>
    <row r="685" spans="1:29" ht="12.75" customHeight="1">
      <c r="A685" s="309"/>
      <c r="B685" s="309"/>
      <c r="C685" s="309"/>
      <c r="D685" s="309"/>
      <c r="E685" s="309"/>
      <c r="F685" s="309"/>
      <c r="G685" s="309"/>
      <c r="H685" s="309"/>
      <c r="I685" s="309"/>
      <c r="J685" s="309"/>
      <c r="K685" s="310"/>
      <c r="L685" s="309"/>
      <c r="M685" s="309"/>
      <c r="N685" s="309"/>
      <c r="O685" s="309"/>
      <c r="P685" s="309"/>
      <c r="Q685" s="309"/>
      <c r="R685" s="309"/>
      <c r="S685" s="309"/>
      <c r="T685" s="309"/>
      <c r="U685" s="309"/>
      <c r="V685" s="309"/>
      <c r="W685" s="309"/>
      <c r="X685" s="309"/>
      <c r="Y685" s="309"/>
      <c r="Z685" s="309"/>
      <c r="AA685" s="309"/>
      <c r="AB685" s="309"/>
      <c r="AC685" s="309"/>
    </row>
    <row r="686" spans="1:29" ht="12.75" customHeight="1">
      <c r="A686" s="309"/>
      <c r="B686" s="309"/>
      <c r="C686" s="309"/>
      <c r="D686" s="309"/>
      <c r="E686" s="309"/>
      <c r="F686" s="309"/>
      <c r="G686" s="309"/>
      <c r="H686" s="309"/>
      <c r="I686" s="309"/>
      <c r="J686" s="309"/>
      <c r="K686" s="310"/>
      <c r="L686" s="309"/>
      <c r="M686" s="309"/>
      <c r="N686" s="309"/>
      <c r="O686" s="309"/>
      <c r="P686" s="309"/>
      <c r="Q686" s="309"/>
      <c r="R686" s="309"/>
      <c r="S686" s="309"/>
      <c r="T686" s="309"/>
      <c r="U686" s="309"/>
      <c r="V686" s="309"/>
      <c r="W686" s="309"/>
      <c r="X686" s="309"/>
      <c r="Y686" s="309"/>
      <c r="Z686" s="309"/>
      <c r="AA686" s="309"/>
      <c r="AB686" s="309"/>
      <c r="AC686" s="309"/>
    </row>
    <row r="687" spans="1:29" ht="12.75" customHeight="1">
      <c r="A687" s="309"/>
      <c r="B687" s="309"/>
      <c r="C687" s="309"/>
      <c r="D687" s="309"/>
      <c r="E687" s="309"/>
      <c r="F687" s="309"/>
      <c r="G687" s="309"/>
      <c r="H687" s="309"/>
      <c r="I687" s="309"/>
      <c r="J687" s="309"/>
      <c r="K687" s="310"/>
      <c r="L687" s="309"/>
      <c r="M687" s="309"/>
      <c r="N687" s="309"/>
      <c r="O687" s="309"/>
      <c r="P687" s="309"/>
      <c r="Q687" s="309"/>
      <c r="R687" s="309"/>
      <c r="S687" s="309"/>
      <c r="T687" s="309"/>
      <c r="U687" s="309"/>
      <c r="V687" s="309"/>
      <c r="W687" s="309"/>
      <c r="X687" s="309"/>
      <c r="Y687" s="309"/>
      <c r="Z687" s="309"/>
      <c r="AA687" s="309"/>
      <c r="AB687" s="309"/>
      <c r="AC687" s="309"/>
    </row>
    <row r="688" spans="1:29" ht="12.75" customHeight="1">
      <c r="A688" s="309"/>
      <c r="B688" s="309"/>
      <c r="C688" s="309"/>
      <c r="D688" s="309"/>
      <c r="E688" s="309"/>
      <c r="F688" s="309"/>
      <c r="G688" s="309"/>
      <c r="H688" s="309"/>
      <c r="I688" s="309"/>
      <c r="J688" s="309"/>
      <c r="K688" s="310"/>
      <c r="L688" s="309"/>
      <c r="M688" s="309"/>
      <c r="N688" s="309"/>
      <c r="O688" s="309"/>
      <c r="P688" s="309"/>
      <c r="Q688" s="309"/>
      <c r="R688" s="309"/>
      <c r="S688" s="309"/>
      <c r="T688" s="309"/>
      <c r="U688" s="309"/>
      <c r="V688" s="309"/>
      <c r="W688" s="309"/>
      <c r="X688" s="309"/>
      <c r="Y688" s="309"/>
      <c r="Z688" s="309"/>
      <c r="AA688" s="309"/>
      <c r="AB688" s="309"/>
      <c r="AC688" s="309"/>
    </row>
    <row r="689" spans="1:29" ht="12.75" customHeight="1">
      <c r="A689" s="309"/>
      <c r="B689" s="309"/>
      <c r="C689" s="309"/>
      <c r="D689" s="309"/>
      <c r="E689" s="309"/>
      <c r="F689" s="309"/>
      <c r="G689" s="309"/>
      <c r="H689" s="309"/>
      <c r="I689" s="309"/>
      <c r="J689" s="309"/>
      <c r="K689" s="310"/>
      <c r="L689" s="309"/>
      <c r="M689" s="309"/>
      <c r="N689" s="309"/>
      <c r="O689" s="309"/>
      <c r="P689" s="309"/>
      <c r="Q689" s="309"/>
      <c r="R689" s="309"/>
      <c r="S689" s="309"/>
      <c r="T689" s="309"/>
      <c r="U689" s="309"/>
      <c r="V689" s="309"/>
      <c r="W689" s="309"/>
      <c r="X689" s="309"/>
      <c r="Y689" s="309"/>
      <c r="Z689" s="309"/>
      <c r="AA689" s="309"/>
      <c r="AB689" s="309"/>
      <c r="AC689" s="309"/>
    </row>
    <row r="690" spans="1:29" ht="12.75" customHeight="1">
      <c r="A690" s="309"/>
      <c r="B690" s="309"/>
      <c r="C690" s="309"/>
      <c r="D690" s="309"/>
      <c r="E690" s="309"/>
      <c r="F690" s="309"/>
      <c r="G690" s="309"/>
      <c r="H690" s="309"/>
      <c r="I690" s="309"/>
      <c r="J690" s="309"/>
      <c r="K690" s="310"/>
      <c r="L690" s="309"/>
      <c r="M690" s="309"/>
      <c r="N690" s="309"/>
      <c r="O690" s="309"/>
      <c r="P690" s="309"/>
      <c r="Q690" s="309"/>
      <c r="R690" s="309"/>
      <c r="S690" s="309"/>
      <c r="T690" s="309"/>
      <c r="U690" s="309"/>
      <c r="V690" s="309"/>
      <c r="W690" s="309"/>
      <c r="X690" s="309"/>
      <c r="Y690" s="309"/>
      <c r="Z690" s="309"/>
      <c r="AA690" s="309"/>
      <c r="AB690" s="309"/>
      <c r="AC690" s="309"/>
    </row>
    <row r="691" spans="1:29" ht="12.75" customHeight="1">
      <c r="A691" s="309"/>
      <c r="B691" s="309"/>
      <c r="C691" s="309"/>
      <c r="D691" s="309"/>
      <c r="E691" s="309"/>
      <c r="F691" s="309"/>
      <c r="G691" s="309"/>
      <c r="H691" s="309"/>
      <c r="I691" s="309"/>
      <c r="J691" s="309"/>
      <c r="K691" s="310"/>
      <c r="L691" s="309"/>
      <c r="M691" s="309"/>
      <c r="N691" s="309"/>
      <c r="O691" s="309"/>
      <c r="P691" s="309"/>
      <c r="Q691" s="309"/>
      <c r="R691" s="309"/>
      <c r="S691" s="309"/>
      <c r="T691" s="309"/>
      <c r="U691" s="309"/>
      <c r="V691" s="309"/>
      <c r="W691" s="309"/>
      <c r="X691" s="309"/>
      <c r="Y691" s="309"/>
      <c r="Z691" s="309"/>
      <c r="AA691" s="309"/>
      <c r="AB691" s="309"/>
      <c r="AC691" s="309"/>
    </row>
    <row r="692" spans="1:29" ht="12.75" customHeight="1">
      <c r="A692" s="309"/>
      <c r="B692" s="309"/>
      <c r="C692" s="309"/>
      <c r="D692" s="309"/>
      <c r="E692" s="309"/>
      <c r="F692" s="309"/>
      <c r="G692" s="309"/>
      <c r="H692" s="309"/>
      <c r="I692" s="309"/>
      <c r="J692" s="309"/>
      <c r="K692" s="310"/>
      <c r="L692" s="309"/>
      <c r="M692" s="309"/>
      <c r="N692" s="309"/>
      <c r="O692" s="309"/>
      <c r="P692" s="309"/>
      <c r="Q692" s="309"/>
      <c r="R692" s="309"/>
      <c r="S692" s="309"/>
      <c r="T692" s="309"/>
      <c r="U692" s="309"/>
      <c r="V692" s="309"/>
      <c r="W692" s="309"/>
      <c r="X692" s="309"/>
      <c r="Y692" s="309"/>
      <c r="Z692" s="309"/>
      <c r="AA692" s="309"/>
      <c r="AB692" s="309"/>
      <c r="AC692" s="309"/>
    </row>
    <row r="693" spans="1:29" ht="12.75" customHeight="1">
      <c r="A693" s="309"/>
      <c r="B693" s="309"/>
      <c r="C693" s="309"/>
      <c r="D693" s="309"/>
      <c r="E693" s="309"/>
      <c r="F693" s="309"/>
      <c r="G693" s="309"/>
      <c r="H693" s="309"/>
      <c r="I693" s="309"/>
      <c r="J693" s="309"/>
      <c r="K693" s="310"/>
      <c r="L693" s="309"/>
      <c r="M693" s="309"/>
      <c r="N693" s="309"/>
      <c r="O693" s="309"/>
      <c r="P693" s="309"/>
      <c r="Q693" s="309"/>
      <c r="R693" s="309"/>
      <c r="S693" s="309"/>
      <c r="T693" s="309"/>
      <c r="U693" s="309"/>
      <c r="V693" s="309"/>
      <c r="W693" s="309"/>
      <c r="X693" s="309"/>
      <c r="Y693" s="309"/>
      <c r="Z693" s="309"/>
      <c r="AA693" s="309"/>
      <c r="AB693" s="309"/>
      <c r="AC693" s="309"/>
    </row>
    <row r="694" spans="1:29" ht="12.75" customHeight="1">
      <c r="A694" s="309"/>
      <c r="B694" s="309"/>
      <c r="C694" s="309"/>
      <c r="D694" s="309"/>
      <c r="E694" s="309"/>
      <c r="F694" s="309"/>
      <c r="G694" s="309"/>
      <c r="H694" s="309"/>
      <c r="I694" s="309"/>
      <c r="J694" s="309"/>
      <c r="K694" s="310"/>
      <c r="L694" s="309"/>
      <c r="M694" s="309"/>
      <c r="N694" s="309"/>
      <c r="O694" s="309"/>
      <c r="P694" s="309"/>
      <c r="Q694" s="309"/>
      <c r="R694" s="309"/>
      <c r="S694" s="309"/>
      <c r="T694" s="309"/>
      <c r="U694" s="309"/>
      <c r="V694" s="309"/>
      <c r="W694" s="309"/>
      <c r="X694" s="309"/>
      <c r="Y694" s="309"/>
      <c r="Z694" s="309"/>
      <c r="AA694" s="309"/>
      <c r="AB694" s="309"/>
      <c r="AC694" s="309"/>
    </row>
    <row r="695" spans="1:29" ht="12.75" customHeight="1">
      <c r="A695" s="309"/>
      <c r="B695" s="309"/>
      <c r="C695" s="309"/>
      <c r="D695" s="309"/>
      <c r="E695" s="309"/>
      <c r="F695" s="309"/>
      <c r="G695" s="309"/>
      <c r="H695" s="309"/>
      <c r="I695" s="309"/>
      <c r="J695" s="309"/>
      <c r="K695" s="310"/>
      <c r="L695" s="309"/>
      <c r="M695" s="309"/>
      <c r="N695" s="309"/>
      <c r="O695" s="309"/>
      <c r="P695" s="309"/>
      <c r="Q695" s="309"/>
      <c r="R695" s="309"/>
      <c r="S695" s="309"/>
      <c r="T695" s="309"/>
      <c r="U695" s="309"/>
      <c r="V695" s="309"/>
      <c r="W695" s="309"/>
      <c r="X695" s="309"/>
      <c r="Y695" s="309"/>
      <c r="Z695" s="309"/>
      <c r="AA695" s="309"/>
      <c r="AB695" s="309"/>
      <c r="AC695" s="309"/>
    </row>
    <row r="696" spans="1:29" ht="12.75" customHeight="1">
      <c r="A696" s="309"/>
      <c r="B696" s="309"/>
      <c r="C696" s="309"/>
      <c r="D696" s="309"/>
      <c r="E696" s="309"/>
      <c r="F696" s="309"/>
      <c r="G696" s="309"/>
      <c r="H696" s="309"/>
      <c r="I696" s="309"/>
      <c r="J696" s="309"/>
      <c r="K696" s="310"/>
      <c r="L696" s="309"/>
      <c r="M696" s="309"/>
      <c r="N696" s="309"/>
      <c r="O696" s="309"/>
      <c r="P696" s="309"/>
      <c r="Q696" s="309"/>
      <c r="R696" s="309"/>
      <c r="S696" s="309"/>
      <c r="T696" s="309"/>
      <c r="U696" s="309"/>
      <c r="V696" s="309"/>
      <c r="W696" s="309"/>
      <c r="X696" s="309"/>
      <c r="Y696" s="309"/>
      <c r="Z696" s="309"/>
      <c r="AA696" s="309"/>
      <c r="AB696" s="309"/>
      <c r="AC696" s="309"/>
    </row>
    <row r="697" spans="1:29" ht="12.75" customHeight="1">
      <c r="A697" s="309"/>
      <c r="B697" s="309"/>
      <c r="C697" s="309"/>
      <c r="D697" s="309"/>
      <c r="E697" s="309"/>
      <c r="F697" s="309"/>
      <c r="G697" s="309"/>
      <c r="H697" s="309"/>
      <c r="I697" s="309"/>
      <c r="J697" s="309"/>
      <c r="K697" s="310"/>
      <c r="L697" s="309"/>
      <c r="M697" s="309"/>
      <c r="N697" s="309"/>
      <c r="O697" s="309"/>
      <c r="P697" s="309"/>
      <c r="Q697" s="309"/>
      <c r="R697" s="309"/>
      <c r="S697" s="309"/>
      <c r="T697" s="309"/>
      <c r="U697" s="309"/>
      <c r="V697" s="309"/>
      <c r="W697" s="309"/>
      <c r="X697" s="309"/>
      <c r="Y697" s="309"/>
      <c r="Z697" s="309"/>
      <c r="AA697" s="309"/>
      <c r="AB697" s="309"/>
      <c r="AC697" s="309"/>
    </row>
    <row r="698" spans="1:29" ht="12.75" customHeight="1">
      <c r="A698" s="309"/>
      <c r="B698" s="309"/>
      <c r="C698" s="309"/>
      <c r="D698" s="309"/>
      <c r="E698" s="309"/>
      <c r="F698" s="309"/>
      <c r="G698" s="309"/>
      <c r="H698" s="309"/>
      <c r="I698" s="309"/>
      <c r="J698" s="309"/>
      <c r="K698" s="310"/>
      <c r="L698" s="309"/>
      <c r="M698" s="309"/>
      <c r="N698" s="309"/>
      <c r="O698" s="309"/>
      <c r="P698" s="309"/>
      <c r="Q698" s="309"/>
      <c r="R698" s="309"/>
      <c r="S698" s="309"/>
      <c r="T698" s="309"/>
      <c r="U698" s="309"/>
      <c r="V698" s="309"/>
      <c r="W698" s="309"/>
      <c r="X698" s="309"/>
      <c r="Y698" s="309"/>
      <c r="Z698" s="309"/>
      <c r="AA698" s="309"/>
      <c r="AB698" s="309"/>
      <c r="AC698" s="309"/>
    </row>
    <row r="699" spans="1:29" ht="12.75" customHeight="1">
      <c r="A699" s="309"/>
      <c r="B699" s="309"/>
      <c r="C699" s="309"/>
      <c r="D699" s="309"/>
      <c r="E699" s="309"/>
      <c r="F699" s="309"/>
      <c r="G699" s="309"/>
      <c r="H699" s="309"/>
      <c r="I699" s="309"/>
      <c r="J699" s="309"/>
      <c r="K699" s="310"/>
      <c r="L699" s="309"/>
      <c r="M699" s="309"/>
      <c r="N699" s="309"/>
      <c r="O699" s="309"/>
      <c r="P699" s="309"/>
      <c r="Q699" s="309"/>
      <c r="R699" s="309"/>
      <c r="S699" s="309"/>
      <c r="T699" s="309"/>
      <c r="U699" s="309"/>
      <c r="V699" s="309"/>
      <c r="W699" s="309"/>
      <c r="X699" s="309"/>
      <c r="Y699" s="309"/>
      <c r="Z699" s="309"/>
      <c r="AA699" s="309"/>
      <c r="AB699" s="309"/>
      <c r="AC699" s="309"/>
    </row>
    <row r="700" spans="1:29" ht="12.75" customHeight="1">
      <c r="A700" s="309"/>
      <c r="B700" s="309"/>
      <c r="C700" s="309"/>
      <c r="D700" s="309"/>
      <c r="E700" s="309"/>
      <c r="F700" s="309"/>
      <c r="G700" s="309"/>
      <c r="H700" s="309"/>
      <c r="I700" s="309"/>
      <c r="J700" s="309"/>
      <c r="K700" s="310"/>
      <c r="L700" s="309"/>
      <c r="M700" s="309"/>
      <c r="N700" s="309"/>
      <c r="O700" s="309"/>
      <c r="P700" s="309"/>
      <c r="Q700" s="309"/>
      <c r="R700" s="309"/>
      <c r="S700" s="309"/>
      <c r="T700" s="309"/>
      <c r="U700" s="309"/>
      <c r="V700" s="309"/>
      <c r="W700" s="309"/>
      <c r="X700" s="309"/>
      <c r="Y700" s="309"/>
      <c r="Z700" s="309"/>
      <c r="AA700" s="309"/>
      <c r="AB700" s="309"/>
      <c r="AC700" s="309"/>
    </row>
    <row r="701" spans="1:29" ht="12.75" customHeight="1">
      <c r="A701" s="309"/>
      <c r="B701" s="309"/>
      <c r="C701" s="309"/>
      <c r="D701" s="309"/>
      <c r="E701" s="309"/>
      <c r="F701" s="309"/>
      <c r="G701" s="309"/>
      <c r="H701" s="309"/>
      <c r="I701" s="309"/>
      <c r="J701" s="309"/>
      <c r="K701" s="310"/>
      <c r="L701" s="309"/>
      <c r="M701" s="309"/>
      <c r="N701" s="309"/>
      <c r="O701" s="309"/>
      <c r="P701" s="309"/>
      <c r="Q701" s="309"/>
      <c r="R701" s="309"/>
      <c r="S701" s="309"/>
      <c r="T701" s="309"/>
      <c r="U701" s="309"/>
      <c r="V701" s="309"/>
      <c r="W701" s="309"/>
      <c r="X701" s="309"/>
      <c r="Y701" s="309"/>
      <c r="Z701" s="309"/>
      <c r="AA701" s="309"/>
      <c r="AB701" s="309"/>
      <c r="AC701" s="309"/>
    </row>
    <row r="702" spans="1:29" ht="12.75" customHeight="1">
      <c r="A702" s="309"/>
      <c r="B702" s="309"/>
      <c r="C702" s="309"/>
      <c r="D702" s="309"/>
      <c r="E702" s="309"/>
      <c r="F702" s="309"/>
      <c r="G702" s="309"/>
      <c r="H702" s="309"/>
      <c r="I702" s="309"/>
      <c r="J702" s="309"/>
      <c r="K702" s="310"/>
      <c r="L702" s="309"/>
      <c r="M702" s="309"/>
      <c r="N702" s="309"/>
      <c r="O702" s="309"/>
      <c r="P702" s="309"/>
      <c r="Q702" s="309"/>
      <c r="R702" s="309"/>
      <c r="S702" s="309"/>
      <c r="T702" s="309"/>
      <c r="U702" s="309"/>
      <c r="V702" s="309"/>
      <c r="W702" s="309"/>
      <c r="X702" s="309"/>
      <c r="Y702" s="309"/>
      <c r="Z702" s="309"/>
      <c r="AA702" s="309"/>
      <c r="AB702" s="309"/>
      <c r="AC702" s="309"/>
    </row>
    <row r="703" spans="1:29" ht="12.75" customHeight="1">
      <c r="A703" s="309"/>
      <c r="B703" s="309"/>
      <c r="C703" s="309"/>
      <c r="D703" s="309"/>
      <c r="E703" s="309"/>
      <c r="F703" s="309"/>
      <c r="G703" s="309"/>
      <c r="H703" s="309"/>
      <c r="I703" s="309"/>
      <c r="J703" s="309"/>
      <c r="K703" s="310"/>
      <c r="L703" s="309"/>
      <c r="M703" s="309"/>
      <c r="N703" s="309"/>
      <c r="O703" s="309"/>
      <c r="P703" s="309"/>
      <c r="Q703" s="309"/>
      <c r="R703" s="309"/>
      <c r="S703" s="309"/>
      <c r="T703" s="309"/>
      <c r="U703" s="309"/>
      <c r="V703" s="309"/>
      <c r="W703" s="309"/>
      <c r="X703" s="309"/>
      <c r="Y703" s="309"/>
      <c r="Z703" s="309"/>
      <c r="AA703" s="309"/>
      <c r="AB703" s="309"/>
      <c r="AC703" s="309"/>
    </row>
    <row r="704" spans="1:29" ht="12.75" customHeight="1">
      <c r="A704" s="309"/>
      <c r="B704" s="309"/>
      <c r="C704" s="309"/>
      <c r="D704" s="309"/>
      <c r="E704" s="309"/>
      <c r="F704" s="309"/>
      <c r="G704" s="309"/>
      <c r="H704" s="309"/>
      <c r="I704" s="309"/>
      <c r="J704" s="309"/>
      <c r="K704" s="310"/>
      <c r="L704" s="309"/>
      <c r="M704" s="309"/>
      <c r="N704" s="309"/>
      <c r="O704" s="309"/>
      <c r="P704" s="309"/>
      <c r="Q704" s="309"/>
      <c r="R704" s="309"/>
      <c r="S704" s="309"/>
      <c r="T704" s="309"/>
      <c r="U704" s="309"/>
      <c r="V704" s="309"/>
      <c r="W704" s="309"/>
      <c r="X704" s="309"/>
      <c r="Y704" s="309"/>
      <c r="Z704" s="309"/>
      <c r="AA704" s="309"/>
      <c r="AB704" s="309"/>
      <c r="AC704" s="309"/>
    </row>
    <row r="705" spans="1:29" ht="12.75" customHeight="1">
      <c r="A705" s="309"/>
      <c r="B705" s="309"/>
      <c r="C705" s="309"/>
      <c r="D705" s="309"/>
      <c r="E705" s="309"/>
      <c r="F705" s="309"/>
      <c r="G705" s="309"/>
      <c r="H705" s="309"/>
      <c r="I705" s="309"/>
      <c r="J705" s="309"/>
      <c r="K705" s="310"/>
      <c r="L705" s="309"/>
      <c r="M705" s="309"/>
      <c r="N705" s="309"/>
      <c r="O705" s="309"/>
      <c r="P705" s="309"/>
      <c r="Q705" s="309"/>
      <c r="R705" s="309"/>
      <c r="S705" s="309"/>
      <c r="T705" s="309"/>
      <c r="U705" s="309"/>
      <c r="V705" s="309"/>
      <c r="W705" s="309"/>
      <c r="X705" s="309"/>
      <c r="Y705" s="309"/>
      <c r="Z705" s="309"/>
      <c r="AA705" s="309"/>
      <c r="AB705" s="309"/>
      <c r="AC705" s="309"/>
    </row>
    <row r="706" spans="1:29" ht="12.75" customHeight="1">
      <c r="A706" s="309"/>
      <c r="B706" s="309"/>
      <c r="C706" s="309"/>
      <c r="D706" s="309"/>
      <c r="E706" s="309"/>
      <c r="F706" s="309"/>
      <c r="G706" s="309"/>
      <c r="H706" s="309"/>
      <c r="I706" s="309"/>
      <c r="J706" s="309"/>
      <c r="K706" s="310"/>
      <c r="L706" s="309"/>
      <c r="M706" s="309"/>
      <c r="N706" s="309"/>
      <c r="O706" s="309"/>
      <c r="P706" s="309"/>
      <c r="Q706" s="309"/>
      <c r="R706" s="309"/>
      <c r="S706" s="309"/>
      <c r="T706" s="309"/>
      <c r="U706" s="309"/>
      <c r="V706" s="309"/>
      <c r="W706" s="309"/>
      <c r="X706" s="309"/>
      <c r="Y706" s="309"/>
      <c r="Z706" s="309"/>
      <c r="AA706" s="309"/>
      <c r="AB706" s="309"/>
      <c r="AC706" s="309"/>
    </row>
    <row r="707" spans="1:29" ht="12.75" customHeight="1">
      <c r="A707" s="309"/>
      <c r="B707" s="309"/>
      <c r="C707" s="309"/>
      <c r="D707" s="309"/>
      <c r="E707" s="309"/>
      <c r="F707" s="309"/>
      <c r="G707" s="309"/>
      <c r="H707" s="309"/>
      <c r="I707" s="309"/>
      <c r="J707" s="309"/>
      <c r="K707" s="310"/>
      <c r="L707" s="309"/>
      <c r="M707" s="309"/>
      <c r="N707" s="309"/>
      <c r="O707" s="309"/>
      <c r="P707" s="309"/>
      <c r="Q707" s="309"/>
      <c r="R707" s="309"/>
      <c r="S707" s="309"/>
      <c r="T707" s="309"/>
      <c r="U707" s="309"/>
      <c r="V707" s="309"/>
      <c r="W707" s="309"/>
      <c r="X707" s="309"/>
      <c r="Y707" s="309"/>
      <c r="Z707" s="309"/>
      <c r="AA707" s="309"/>
      <c r="AB707" s="309"/>
      <c r="AC707" s="309"/>
    </row>
    <row r="708" spans="1:29" ht="12.75" customHeight="1">
      <c r="A708" s="309"/>
      <c r="B708" s="309"/>
      <c r="C708" s="309"/>
      <c r="D708" s="309"/>
      <c r="E708" s="309"/>
      <c r="F708" s="309"/>
      <c r="G708" s="309"/>
      <c r="H708" s="309"/>
      <c r="I708" s="309"/>
      <c r="J708" s="309"/>
      <c r="K708" s="310"/>
      <c r="L708" s="309"/>
      <c r="M708" s="309"/>
      <c r="N708" s="309"/>
      <c r="O708" s="309"/>
      <c r="P708" s="309"/>
      <c r="Q708" s="309"/>
      <c r="R708" s="309"/>
      <c r="S708" s="309"/>
      <c r="T708" s="309"/>
      <c r="U708" s="309"/>
      <c r="V708" s="309"/>
      <c r="W708" s="309"/>
      <c r="X708" s="309"/>
      <c r="Y708" s="309"/>
      <c r="Z708" s="309"/>
      <c r="AA708" s="309"/>
      <c r="AB708" s="309"/>
      <c r="AC708" s="309"/>
    </row>
    <row r="709" spans="1:29" ht="12.75" customHeight="1">
      <c r="A709" s="309"/>
      <c r="B709" s="309"/>
      <c r="C709" s="309"/>
      <c r="D709" s="309"/>
      <c r="E709" s="309"/>
      <c r="F709" s="309"/>
      <c r="G709" s="309"/>
      <c r="H709" s="309"/>
      <c r="I709" s="309"/>
      <c r="J709" s="309"/>
      <c r="K709" s="310"/>
      <c r="L709" s="309"/>
      <c r="M709" s="309"/>
      <c r="N709" s="309"/>
      <c r="O709" s="309"/>
      <c r="P709" s="309"/>
      <c r="Q709" s="309"/>
      <c r="R709" s="309"/>
      <c r="S709" s="309"/>
      <c r="T709" s="309"/>
      <c r="U709" s="309"/>
      <c r="V709" s="309"/>
      <c r="W709" s="309"/>
      <c r="X709" s="309"/>
      <c r="Y709" s="309"/>
      <c r="Z709" s="309"/>
      <c r="AA709" s="309"/>
      <c r="AB709" s="309"/>
      <c r="AC709" s="309"/>
    </row>
    <row r="710" spans="1:29" ht="12.75" customHeight="1">
      <c r="A710" s="309"/>
      <c r="B710" s="309"/>
      <c r="C710" s="309"/>
      <c r="D710" s="309"/>
      <c r="E710" s="309"/>
      <c r="F710" s="309"/>
      <c r="G710" s="309"/>
      <c r="H710" s="309"/>
      <c r="I710" s="309"/>
      <c r="J710" s="309"/>
      <c r="K710" s="310"/>
      <c r="L710" s="309"/>
      <c r="M710" s="309"/>
      <c r="N710" s="309"/>
      <c r="O710" s="309"/>
      <c r="P710" s="309"/>
      <c r="Q710" s="309"/>
      <c r="R710" s="309"/>
      <c r="S710" s="309"/>
      <c r="T710" s="309"/>
      <c r="U710" s="309"/>
      <c r="V710" s="309"/>
      <c r="W710" s="309"/>
      <c r="X710" s="309"/>
      <c r="Y710" s="309"/>
      <c r="Z710" s="309"/>
      <c r="AA710" s="309"/>
      <c r="AB710" s="309"/>
      <c r="AC710" s="309"/>
    </row>
    <row r="711" spans="1:29" ht="12.75" customHeight="1">
      <c r="A711" s="309"/>
      <c r="B711" s="309"/>
      <c r="C711" s="309"/>
      <c r="D711" s="309"/>
      <c r="E711" s="309"/>
      <c r="F711" s="309"/>
      <c r="G711" s="309"/>
      <c r="H711" s="309"/>
      <c r="I711" s="309"/>
      <c r="J711" s="309"/>
      <c r="K711" s="310"/>
      <c r="L711" s="309"/>
      <c r="M711" s="309"/>
      <c r="N711" s="309"/>
      <c r="O711" s="309"/>
      <c r="P711" s="309"/>
      <c r="Q711" s="309"/>
      <c r="R711" s="309"/>
      <c r="S711" s="309"/>
      <c r="T711" s="309"/>
      <c r="U711" s="309"/>
      <c r="V711" s="309"/>
      <c r="W711" s="309"/>
      <c r="X711" s="309"/>
      <c r="Y711" s="309"/>
      <c r="Z711" s="309"/>
      <c r="AA711" s="309"/>
      <c r="AB711" s="309"/>
      <c r="AC711" s="309"/>
    </row>
    <row r="712" spans="1:29" ht="12.75" customHeight="1">
      <c r="A712" s="309"/>
      <c r="B712" s="309"/>
      <c r="C712" s="309"/>
      <c r="D712" s="309"/>
      <c r="E712" s="309"/>
      <c r="F712" s="309"/>
      <c r="G712" s="309"/>
      <c r="H712" s="309"/>
      <c r="I712" s="309"/>
      <c r="J712" s="309"/>
      <c r="K712" s="310"/>
      <c r="L712" s="309"/>
      <c r="M712" s="309"/>
      <c r="N712" s="309"/>
      <c r="O712" s="309"/>
      <c r="P712" s="309"/>
      <c r="Q712" s="309"/>
      <c r="R712" s="309"/>
      <c r="S712" s="309"/>
      <c r="T712" s="309"/>
      <c r="U712" s="309"/>
      <c r="V712" s="309"/>
      <c r="W712" s="309"/>
      <c r="X712" s="309"/>
      <c r="Y712" s="309"/>
      <c r="Z712" s="309"/>
      <c r="AA712" s="309"/>
      <c r="AB712" s="309"/>
      <c r="AC712" s="309"/>
    </row>
    <row r="713" spans="1:29" ht="12.75" customHeight="1">
      <c r="A713" s="309"/>
      <c r="B713" s="309"/>
      <c r="C713" s="309"/>
      <c r="D713" s="309"/>
      <c r="E713" s="309"/>
      <c r="F713" s="309"/>
      <c r="G713" s="309"/>
      <c r="H713" s="309"/>
      <c r="I713" s="309"/>
      <c r="J713" s="309"/>
      <c r="K713" s="310"/>
      <c r="L713" s="309"/>
      <c r="M713" s="309"/>
      <c r="N713" s="309"/>
      <c r="O713" s="309"/>
      <c r="P713" s="309"/>
      <c r="Q713" s="309"/>
      <c r="R713" s="309"/>
      <c r="S713" s="309"/>
      <c r="T713" s="309"/>
      <c r="U713" s="309"/>
      <c r="V713" s="309"/>
      <c r="W713" s="309"/>
      <c r="X713" s="309"/>
      <c r="Y713" s="309"/>
      <c r="Z713" s="309"/>
      <c r="AA713" s="309"/>
      <c r="AB713" s="309"/>
      <c r="AC713" s="309"/>
    </row>
    <row r="714" spans="1:29" ht="12.75" customHeight="1">
      <c r="A714" s="309"/>
      <c r="B714" s="309"/>
      <c r="C714" s="309"/>
      <c r="D714" s="309"/>
      <c r="E714" s="309"/>
      <c r="F714" s="309"/>
      <c r="G714" s="309"/>
      <c r="H714" s="309"/>
      <c r="I714" s="309"/>
      <c r="J714" s="309"/>
      <c r="K714" s="310"/>
      <c r="L714" s="309"/>
      <c r="M714" s="309"/>
      <c r="N714" s="309"/>
      <c r="O714" s="309"/>
      <c r="P714" s="309"/>
      <c r="Q714" s="309"/>
      <c r="R714" s="309"/>
      <c r="S714" s="309"/>
      <c r="T714" s="309"/>
      <c r="U714" s="309"/>
      <c r="V714" s="309"/>
      <c r="W714" s="309"/>
      <c r="X714" s="309"/>
      <c r="Y714" s="309"/>
      <c r="Z714" s="309"/>
      <c r="AA714" s="309"/>
      <c r="AB714" s="309"/>
      <c r="AC714" s="309"/>
    </row>
    <row r="715" spans="1:29" ht="12.75" customHeight="1">
      <c r="A715" s="309"/>
      <c r="B715" s="309"/>
      <c r="C715" s="309"/>
      <c r="D715" s="309"/>
      <c r="E715" s="309"/>
      <c r="F715" s="309"/>
      <c r="G715" s="309"/>
      <c r="H715" s="309"/>
      <c r="I715" s="309"/>
      <c r="J715" s="309"/>
      <c r="K715" s="310"/>
      <c r="L715" s="309"/>
      <c r="M715" s="309"/>
      <c r="N715" s="309"/>
      <c r="O715" s="309"/>
      <c r="P715" s="309"/>
      <c r="Q715" s="309"/>
      <c r="R715" s="309"/>
      <c r="S715" s="309"/>
      <c r="T715" s="309"/>
      <c r="U715" s="309"/>
      <c r="V715" s="309"/>
      <c r="W715" s="309"/>
      <c r="X715" s="309"/>
      <c r="Y715" s="309"/>
      <c r="Z715" s="309"/>
      <c r="AA715" s="309"/>
      <c r="AB715" s="309"/>
      <c r="AC715" s="309"/>
    </row>
    <row r="716" spans="1:29" ht="12.75" customHeight="1">
      <c r="A716" s="309"/>
      <c r="B716" s="309"/>
      <c r="C716" s="309"/>
      <c r="D716" s="309"/>
      <c r="E716" s="309"/>
      <c r="F716" s="309"/>
      <c r="G716" s="309"/>
      <c r="H716" s="309"/>
      <c r="I716" s="309"/>
      <c r="J716" s="309"/>
      <c r="K716" s="310"/>
      <c r="L716" s="309"/>
      <c r="M716" s="309"/>
      <c r="N716" s="309"/>
      <c r="O716" s="309"/>
      <c r="P716" s="309"/>
      <c r="Q716" s="309"/>
      <c r="R716" s="309"/>
      <c r="S716" s="309"/>
      <c r="T716" s="309"/>
      <c r="U716" s="309"/>
      <c r="V716" s="309"/>
      <c r="W716" s="309"/>
      <c r="X716" s="309"/>
      <c r="Y716" s="309"/>
      <c r="Z716" s="309"/>
      <c r="AA716" s="309"/>
      <c r="AB716" s="309"/>
      <c r="AC716" s="309"/>
    </row>
    <row r="717" spans="1:29" ht="12.75" customHeight="1">
      <c r="A717" s="309"/>
      <c r="B717" s="309"/>
      <c r="C717" s="309"/>
      <c r="D717" s="309"/>
      <c r="E717" s="309"/>
      <c r="F717" s="309"/>
      <c r="G717" s="309"/>
      <c r="H717" s="309"/>
      <c r="I717" s="309"/>
      <c r="J717" s="309"/>
      <c r="K717" s="310"/>
      <c r="L717" s="309"/>
      <c r="M717" s="309"/>
      <c r="N717" s="309"/>
      <c r="O717" s="309"/>
      <c r="P717" s="309"/>
      <c r="Q717" s="309"/>
      <c r="R717" s="309"/>
      <c r="S717" s="309"/>
      <c r="T717" s="309"/>
      <c r="U717" s="309"/>
      <c r="V717" s="309"/>
      <c r="W717" s="309"/>
      <c r="X717" s="309"/>
      <c r="Y717" s="309"/>
      <c r="Z717" s="309"/>
      <c r="AA717" s="309"/>
      <c r="AB717" s="309"/>
      <c r="AC717" s="309"/>
    </row>
    <row r="718" spans="1:29" ht="12.75" customHeight="1">
      <c r="A718" s="309"/>
      <c r="B718" s="309"/>
      <c r="C718" s="309"/>
      <c r="D718" s="309"/>
      <c r="E718" s="309"/>
      <c r="F718" s="309"/>
      <c r="G718" s="309"/>
      <c r="H718" s="309"/>
      <c r="I718" s="309"/>
      <c r="J718" s="309"/>
      <c r="K718" s="310"/>
      <c r="L718" s="309"/>
      <c r="M718" s="309"/>
      <c r="N718" s="309"/>
      <c r="O718" s="309"/>
      <c r="P718" s="309"/>
      <c r="Q718" s="309"/>
      <c r="R718" s="309"/>
      <c r="S718" s="309"/>
      <c r="T718" s="309"/>
      <c r="U718" s="309"/>
      <c r="V718" s="309"/>
      <c r="W718" s="309"/>
      <c r="X718" s="309"/>
      <c r="Y718" s="309"/>
      <c r="Z718" s="309"/>
      <c r="AA718" s="309"/>
      <c r="AB718" s="309"/>
      <c r="AC718" s="309"/>
    </row>
    <row r="719" spans="1:29" ht="12.75" customHeight="1">
      <c r="A719" s="309"/>
      <c r="B719" s="309"/>
      <c r="C719" s="309"/>
      <c r="D719" s="309"/>
      <c r="E719" s="309"/>
      <c r="F719" s="309"/>
      <c r="G719" s="309"/>
      <c r="H719" s="309"/>
      <c r="I719" s="309"/>
      <c r="J719" s="309"/>
      <c r="K719" s="310"/>
      <c r="L719" s="309"/>
      <c r="M719" s="309"/>
      <c r="N719" s="309"/>
      <c r="O719" s="309"/>
      <c r="P719" s="309"/>
      <c r="Q719" s="309"/>
      <c r="R719" s="309"/>
      <c r="S719" s="309"/>
      <c r="T719" s="309"/>
      <c r="U719" s="309"/>
      <c r="V719" s="309"/>
      <c r="W719" s="309"/>
      <c r="X719" s="309"/>
      <c r="Y719" s="309"/>
      <c r="Z719" s="309"/>
      <c r="AA719" s="309"/>
      <c r="AB719" s="309"/>
      <c r="AC719" s="309"/>
    </row>
    <row r="720" spans="1:29" ht="12.75" customHeight="1">
      <c r="A720" s="309"/>
      <c r="B720" s="309"/>
      <c r="C720" s="309"/>
      <c r="D720" s="309"/>
      <c r="E720" s="309"/>
      <c r="F720" s="309"/>
      <c r="G720" s="309"/>
      <c r="H720" s="309"/>
      <c r="I720" s="309"/>
      <c r="J720" s="309"/>
      <c r="K720" s="310"/>
      <c r="L720" s="309"/>
      <c r="M720" s="309"/>
      <c r="N720" s="309"/>
      <c r="O720" s="309"/>
      <c r="P720" s="309"/>
      <c r="Q720" s="309"/>
      <c r="R720" s="309"/>
      <c r="S720" s="309"/>
      <c r="T720" s="309"/>
      <c r="U720" s="309"/>
      <c r="V720" s="309"/>
      <c r="W720" s="309"/>
      <c r="X720" s="309"/>
      <c r="Y720" s="309"/>
      <c r="Z720" s="309"/>
      <c r="AA720" s="309"/>
      <c r="AB720" s="309"/>
      <c r="AC720" s="309"/>
    </row>
    <row r="721" spans="1:29" ht="12.75" customHeight="1">
      <c r="A721" s="309"/>
      <c r="B721" s="309"/>
      <c r="C721" s="309"/>
      <c r="D721" s="309"/>
      <c r="E721" s="309"/>
      <c r="F721" s="309"/>
      <c r="G721" s="309"/>
      <c r="H721" s="309"/>
      <c r="I721" s="309"/>
      <c r="J721" s="309"/>
      <c r="K721" s="310"/>
      <c r="L721" s="309"/>
      <c r="M721" s="309"/>
      <c r="N721" s="309"/>
      <c r="O721" s="309"/>
      <c r="P721" s="309"/>
      <c r="Q721" s="309"/>
      <c r="R721" s="309"/>
      <c r="S721" s="309"/>
      <c r="T721" s="309"/>
      <c r="U721" s="309"/>
      <c r="V721" s="309"/>
      <c r="W721" s="309"/>
      <c r="X721" s="309"/>
      <c r="Y721" s="309"/>
      <c r="Z721" s="309"/>
      <c r="AA721" s="309"/>
      <c r="AB721" s="309"/>
      <c r="AC721" s="309"/>
    </row>
    <row r="722" spans="1:29" ht="12.75" customHeight="1">
      <c r="A722" s="309"/>
      <c r="B722" s="309"/>
      <c r="C722" s="309"/>
      <c r="D722" s="309"/>
      <c r="E722" s="309"/>
      <c r="F722" s="309"/>
      <c r="G722" s="309"/>
      <c r="H722" s="309"/>
      <c r="I722" s="309"/>
      <c r="J722" s="309"/>
      <c r="K722" s="310"/>
      <c r="L722" s="309"/>
      <c r="M722" s="309"/>
      <c r="N722" s="309"/>
      <c r="O722" s="309"/>
      <c r="P722" s="309"/>
      <c r="Q722" s="309"/>
      <c r="R722" s="309"/>
      <c r="S722" s="309"/>
      <c r="T722" s="309"/>
      <c r="U722" s="309"/>
      <c r="V722" s="309"/>
      <c r="W722" s="309"/>
      <c r="X722" s="309"/>
      <c r="Y722" s="309"/>
      <c r="Z722" s="309"/>
      <c r="AA722" s="309"/>
      <c r="AB722" s="309"/>
      <c r="AC722" s="309"/>
    </row>
    <row r="723" spans="1:29" ht="12.75" customHeight="1">
      <c r="A723" s="309"/>
      <c r="B723" s="309"/>
      <c r="C723" s="309"/>
      <c r="D723" s="309"/>
      <c r="E723" s="309"/>
      <c r="F723" s="309"/>
      <c r="G723" s="309"/>
      <c r="H723" s="309"/>
      <c r="I723" s="309"/>
      <c r="J723" s="309"/>
      <c r="K723" s="310"/>
      <c r="L723" s="309"/>
      <c r="M723" s="309"/>
      <c r="N723" s="309"/>
      <c r="O723" s="309"/>
      <c r="P723" s="309"/>
      <c r="Q723" s="309"/>
      <c r="R723" s="309"/>
      <c r="S723" s="309"/>
      <c r="T723" s="309"/>
      <c r="U723" s="309"/>
      <c r="V723" s="309"/>
      <c r="W723" s="309"/>
      <c r="X723" s="309"/>
      <c r="Y723" s="309"/>
      <c r="Z723" s="309"/>
      <c r="AA723" s="309"/>
      <c r="AB723" s="309"/>
      <c r="AC723" s="309"/>
    </row>
    <row r="724" spans="1:29" ht="12.75" customHeight="1">
      <c r="A724" s="309"/>
      <c r="B724" s="309"/>
      <c r="C724" s="309"/>
      <c r="D724" s="309"/>
      <c r="E724" s="309"/>
      <c r="F724" s="309"/>
      <c r="G724" s="309"/>
      <c r="H724" s="309"/>
      <c r="I724" s="309"/>
      <c r="J724" s="309"/>
      <c r="K724" s="310"/>
      <c r="L724" s="309"/>
      <c r="M724" s="309"/>
      <c r="N724" s="309"/>
      <c r="O724" s="309"/>
      <c r="P724" s="309"/>
      <c r="Q724" s="309"/>
      <c r="R724" s="309"/>
      <c r="S724" s="309"/>
      <c r="T724" s="309"/>
      <c r="U724" s="309"/>
      <c r="V724" s="309"/>
      <c r="W724" s="309"/>
      <c r="X724" s="309"/>
      <c r="Y724" s="309"/>
      <c r="Z724" s="309"/>
      <c r="AA724" s="309"/>
      <c r="AB724" s="309"/>
      <c r="AC724" s="309"/>
    </row>
    <row r="725" spans="1:29" ht="12.75" customHeight="1">
      <c r="A725" s="309"/>
      <c r="B725" s="309"/>
      <c r="C725" s="309"/>
      <c r="D725" s="309"/>
      <c r="E725" s="309"/>
      <c r="F725" s="309"/>
      <c r="G725" s="309"/>
      <c r="H725" s="309"/>
      <c r="I725" s="309"/>
      <c r="J725" s="309"/>
      <c r="K725" s="310"/>
      <c r="L725" s="309"/>
      <c r="M725" s="309"/>
      <c r="N725" s="309"/>
      <c r="O725" s="309"/>
      <c r="P725" s="309"/>
      <c r="Q725" s="309"/>
      <c r="R725" s="309"/>
      <c r="S725" s="309"/>
      <c r="T725" s="309"/>
      <c r="U725" s="309"/>
      <c r="V725" s="309"/>
      <c r="W725" s="309"/>
      <c r="X725" s="309"/>
      <c r="Y725" s="309"/>
      <c r="Z725" s="309"/>
      <c r="AA725" s="309"/>
      <c r="AB725" s="309"/>
      <c r="AC725" s="309"/>
    </row>
    <row r="726" spans="1:29" ht="12.75" customHeight="1">
      <c r="A726" s="309"/>
      <c r="B726" s="309"/>
      <c r="C726" s="309"/>
      <c r="D726" s="309"/>
      <c r="E726" s="309"/>
      <c r="F726" s="309"/>
      <c r="G726" s="309"/>
      <c r="H726" s="309"/>
      <c r="I726" s="309"/>
      <c r="J726" s="309"/>
      <c r="K726" s="310"/>
      <c r="L726" s="309"/>
      <c r="M726" s="309"/>
      <c r="N726" s="309"/>
      <c r="O726" s="309"/>
      <c r="P726" s="309"/>
      <c r="Q726" s="309"/>
      <c r="R726" s="309"/>
      <c r="S726" s="309"/>
      <c r="T726" s="309"/>
      <c r="U726" s="309"/>
      <c r="V726" s="309"/>
      <c r="W726" s="309"/>
      <c r="X726" s="309"/>
      <c r="Y726" s="309"/>
      <c r="Z726" s="309"/>
      <c r="AA726" s="309"/>
      <c r="AB726" s="309"/>
      <c r="AC726" s="309"/>
    </row>
    <row r="727" spans="1:29" ht="12.75" customHeight="1">
      <c r="A727" s="309"/>
      <c r="B727" s="309"/>
      <c r="C727" s="309"/>
      <c r="D727" s="309"/>
      <c r="E727" s="309"/>
      <c r="F727" s="309"/>
      <c r="G727" s="309"/>
      <c r="H727" s="309"/>
      <c r="I727" s="309"/>
      <c r="J727" s="309"/>
      <c r="K727" s="310"/>
      <c r="L727" s="309"/>
      <c r="M727" s="309"/>
      <c r="N727" s="309"/>
      <c r="O727" s="309"/>
      <c r="P727" s="309"/>
      <c r="Q727" s="309"/>
      <c r="R727" s="309"/>
      <c r="S727" s="309"/>
      <c r="T727" s="309"/>
      <c r="U727" s="309"/>
      <c r="V727" s="309"/>
      <c r="W727" s="309"/>
      <c r="X727" s="309"/>
      <c r="Y727" s="309"/>
      <c r="Z727" s="309"/>
      <c r="AA727" s="309"/>
      <c r="AB727" s="309"/>
      <c r="AC727" s="309"/>
    </row>
    <row r="728" spans="1:29" ht="12.75" customHeight="1">
      <c r="A728" s="309"/>
      <c r="B728" s="309"/>
      <c r="C728" s="309"/>
      <c r="D728" s="309"/>
      <c r="E728" s="309"/>
      <c r="F728" s="309"/>
      <c r="G728" s="309"/>
      <c r="H728" s="309"/>
      <c r="I728" s="309"/>
      <c r="J728" s="309"/>
      <c r="K728" s="310"/>
      <c r="L728" s="309"/>
      <c r="M728" s="309"/>
      <c r="N728" s="309"/>
      <c r="O728" s="309"/>
      <c r="P728" s="309"/>
      <c r="Q728" s="309"/>
      <c r="R728" s="309"/>
      <c r="S728" s="309"/>
      <c r="T728" s="309"/>
      <c r="U728" s="309"/>
      <c r="V728" s="309"/>
      <c r="W728" s="309"/>
      <c r="X728" s="309"/>
      <c r="Y728" s="309"/>
      <c r="Z728" s="309"/>
      <c r="AA728" s="309"/>
      <c r="AB728" s="309"/>
      <c r="AC728" s="309"/>
    </row>
    <row r="729" spans="1:29" ht="12.75" customHeight="1">
      <c r="A729" s="309"/>
      <c r="B729" s="309"/>
      <c r="C729" s="309"/>
      <c r="D729" s="309"/>
      <c r="E729" s="309"/>
      <c r="F729" s="309"/>
      <c r="G729" s="309"/>
      <c r="H729" s="309"/>
      <c r="I729" s="309"/>
      <c r="J729" s="309"/>
      <c r="K729" s="310"/>
      <c r="L729" s="309"/>
      <c r="M729" s="309"/>
      <c r="N729" s="309"/>
      <c r="O729" s="309"/>
      <c r="P729" s="309"/>
      <c r="Q729" s="309"/>
      <c r="R729" s="309"/>
      <c r="S729" s="309"/>
      <c r="T729" s="309"/>
      <c r="U729" s="309"/>
      <c r="V729" s="309"/>
      <c r="W729" s="309"/>
      <c r="X729" s="309"/>
      <c r="Y729" s="309"/>
      <c r="Z729" s="309"/>
      <c r="AA729" s="309"/>
      <c r="AB729" s="309"/>
      <c r="AC729" s="309"/>
    </row>
    <row r="730" spans="1:29" ht="12.75" customHeight="1">
      <c r="A730" s="309"/>
      <c r="B730" s="309"/>
      <c r="C730" s="309"/>
      <c r="D730" s="309"/>
      <c r="E730" s="309"/>
      <c r="F730" s="309"/>
      <c r="G730" s="309"/>
      <c r="H730" s="309"/>
      <c r="I730" s="309"/>
      <c r="J730" s="309"/>
      <c r="K730" s="310"/>
      <c r="L730" s="309"/>
      <c r="M730" s="309"/>
      <c r="N730" s="309"/>
      <c r="O730" s="309"/>
      <c r="P730" s="309"/>
      <c r="Q730" s="309"/>
      <c r="R730" s="309"/>
      <c r="S730" s="309"/>
      <c r="T730" s="309"/>
      <c r="U730" s="309"/>
      <c r="V730" s="309"/>
      <c r="W730" s="309"/>
      <c r="X730" s="309"/>
      <c r="Y730" s="309"/>
      <c r="Z730" s="309"/>
      <c r="AA730" s="309"/>
      <c r="AB730" s="309"/>
      <c r="AC730" s="309"/>
    </row>
    <row r="731" spans="1:29" ht="12.75" customHeight="1">
      <c r="A731" s="309"/>
      <c r="B731" s="309"/>
      <c r="C731" s="309"/>
      <c r="D731" s="309"/>
      <c r="E731" s="309"/>
      <c r="F731" s="309"/>
      <c r="G731" s="309"/>
      <c r="H731" s="309"/>
      <c r="I731" s="309"/>
      <c r="J731" s="309"/>
      <c r="K731" s="310"/>
      <c r="L731" s="309"/>
      <c r="M731" s="309"/>
      <c r="N731" s="309"/>
      <c r="O731" s="309"/>
      <c r="P731" s="309"/>
      <c r="Q731" s="309"/>
      <c r="R731" s="309"/>
      <c r="S731" s="309"/>
      <c r="T731" s="309"/>
      <c r="U731" s="309"/>
      <c r="V731" s="309"/>
      <c r="W731" s="309"/>
      <c r="X731" s="309"/>
      <c r="Y731" s="309"/>
      <c r="Z731" s="309"/>
      <c r="AA731" s="309"/>
      <c r="AB731" s="309"/>
      <c r="AC731" s="309"/>
    </row>
    <row r="732" spans="1:29" ht="12.75" customHeight="1">
      <c r="A732" s="309"/>
      <c r="B732" s="309"/>
      <c r="C732" s="309"/>
      <c r="D732" s="309"/>
      <c r="E732" s="309"/>
      <c r="F732" s="309"/>
      <c r="G732" s="309"/>
      <c r="H732" s="309"/>
      <c r="I732" s="309"/>
      <c r="J732" s="309"/>
      <c r="K732" s="310"/>
      <c r="L732" s="309"/>
      <c r="M732" s="309"/>
      <c r="N732" s="309"/>
      <c r="O732" s="309"/>
      <c r="P732" s="309"/>
      <c r="Q732" s="309"/>
      <c r="R732" s="309"/>
      <c r="S732" s="309"/>
      <c r="T732" s="309"/>
      <c r="U732" s="309"/>
      <c r="V732" s="309"/>
      <c r="W732" s="309"/>
      <c r="X732" s="309"/>
      <c r="Y732" s="309"/>
      <c r="Z732" s="309"/>
      <c r="AA732" s="309"/>
      <c r="AB732" s="309"/>
      <c r="AC732" s="309"/>
    </row>
    <row r="733" spans="1:29" ht="12.75" customHeight="1">
      <c r="A733" s="309"/>
      <c r="B733" s="309"/>
      <c r="C733" s="309"/>
      <c r="D733" s="309"/>
      <c r="E733" s="309"/>
      <c r="F733" s="309"/>
      <c r="G733" s="309"/>
      <c r="H733" s="309"/>
      <c r="I733" s="309"/>
      <c r="J733" s="309"/>
      <c r="K733" s="310"/>
      <c r="L733" s="309"/>
      <c r="M733" s="309"/>
      <c r="N733" s="309"/>
      <c r="O733" s="309"/>
      <c r="P733" s="309"/>
      <c r="Q733" s="309"/>
      <c r="R733" s="309"/>
      <c r="S733" s="309"/>
      <c r="T733" s="309"/>
      <c r="U733" s="309"/>
      <c r="V733" s="309"/>
      <c r="W733" s="309"/>
      <c r="X733" s="309"/>
      <c r="Y733" s="309"/>
      <c r="Z733" s="309"/>
      <c r="AA733" s="309"/>
      <c r="AB733" s="309"/>
      <c r="AC733" s="309"/>
    </row>
    <row r="734" spans="1:29" ht="12.75" customHeight="1">
      <c r="A734" s="309"/>
      <c r="B734" s="309"/>
      <c r="C734" s="309"/>
      <c r="D734" s="309"/>
      <c r="E734" s="309"/>
      <c r="F734" s="309"/>
      <c r="G734" s="309"/>
      <c r="H734" s="309"/>
      <c r="I734" s="309"/>
      <c r="J734" s="309"/>
      <c r="K734" s="310"/>
      <c r="L734" s="309"/>
      <c r="M734" s="309"/>
      <c r="N734" s="309"/>
      <c r="O734" s="309"/>
      <c r="P734" s="309"/>
      <c r="Q734" s="309"/>
      <c r="R734" s="309"/>
      <c r="S734" s="309"/>
      <c r="T734" s="309"/>
      <c r="U734" s="309"/>
      <c r="V734" s="309"/>
      <c r="W734" s="309"/>
      <c r="X734" s="309"/>
      <c r="Y734" s="309"/>
      <c r="Z734" s="309"/>
      <c r="AA734" s="309"/>
      <c r="AB734" s="309"/>
      <c r="AC734" s="309"/>
    </row>
    <row r="735" spans="1:29" ht="12.75" customHeight="1">
      <c r="A735" s="309"/>
      <c r="B735" s="309"/>
      <c r="C735" s="309"/>
      <c r="D735" s="309"/>
      <c r="E735" s="309"/>
      <c r="F735" s="309"/>
      <c r="G735" s="309"/>
      <c r="H735" s="309"/>
      <c r="I735" s="309"/>
      <c r="J735" s="309"/>
      <c r="K735" s="310"/>
      <c r="L735" s="309"/>
      <c r="M735" s="309"/>
      <c r="N735" s="309"/>
      <c r="O735" s="309"/>
      <c r="P735" s="309"/>
      <c r="Q735" s="309"/>
      <c r="R735" s="309"/>
      <c r="S735" s="309"/>
      <c r="T735" s="309"/>
      <c r="U735" s="309"/>
      <c r="V735" s="309"/>
      <c r="W735" s="309"/>
      <c r="X735" s="309"/>
      <c r="Y735" s="309"/>
      <c r="Z735" s="309"/>
      <c r="AA735" s="309"/>
      <c r="AB735" s="309"/>
      <c r="AC735" s="309"/>
    </row>
    <row r="736" spans="1:29" ht="12.75" customHeight="1">
      <c r="A736" s="309"/>
      <c r="B736" s="309"/>
      <c r="C736" s="309"/>
      <c r="D736" s="309"/>
      <c r="E736" s="309"/>
      <c r="F736" s="309"/>
      <c r="G736" s="309"/>
      <c r="H736" s="309"/>
      <c r="I736" s="309"/>
      <c r="J736" s="309"/>
      <c r="K736" s="310"/>
      <c r="L736" s="309"/>
      <c r="M736" s="309"/>
      <c r="N736" s="309"/>
      <c r="O736" s="309"/>
      <c r="P736" s="309"/>
      <c r="Q736" s="309"/>
      <c r="R736" s="309"/>
      <c r="S736" s="309"/>
      <c r="T736" s="309"/>
      <c r="U736" s="309"/>
      <c r="V736" s="309"/>
      <c r="W736" s="309"/>
      <c r="X736" s="309"/>
      <c r="Y736" s="309"/>
      <c r="Z736" s="309"/>
      <c r="AA736" s="309"/>
      <c r="AB736" s="309"/>
      <c r="AC736" s="309"/>
    </row>
    <row r="737" spans="1:29" ht="12.75" customHeight="1">
      <c r="A737" s="309"/>
      <c r="B737" s="309"/>
      <c r="C737" s="309"/>
      <c r="D737" s="309"/>
      <c r="E737" s="309"/>
      <c r="F737" s="309"/>
      <c r="G737" s="309"/>
      <c r="H737" s="309"/>
      <c r="I737" s="309"/>
      <c r="J737" s="309"/>
      <c r="K737" s="310"/>
      <c r="L737" s="309"/>
      <c r="M737" s="309"/>
      <c r="N737" s="309"/>
      <c r="O737" s="309"/>
      <c r="P737" s="309"/>
      <c r="Q737" s="309"/>
      <c r="R737" s="309"/>
      <c r="S737" s="309"/>
      <c r="T737" s="309"/>
      <c r="U737" s="309"/>
      <c r="V737" s="309"/>
      <c r="W737" s="309"/>
      <c r="X737" s="309"/>
      <c r="Y737" s="309"/>
      <c r="Z737" s="309"/>
      <c r="AA737" s="309"/>
      <c r="AB737" s="309"/>
      <c r="AC737" s="309"/>
    </row>
    <row r="738" spans="1:29" ht="12.75" customHeight="1">
      <c r="A738" s="309"/>
      <c r="B738" s="309"/>
      <c r="C738" s="309"/>
      <c r="D738" s="309"/>
      <c r="E738" s="309"/>
      <c r="F738" s="309"/>
      <c r="G738" s="309"/>
      <c r="H738" s="309"/>
      <c r="I738" s="309"/>
      <c r="J738" s="309"/>
      <c r="K738" s="310"/>
      <c r="L738" s="309"/>
      <c r="M738" s="309"/>
      <c r="N738" s="309"/>
      <c r="O738" s="309"/>
      <c r="P738" s="309"/>
      <c r="Q738" s="309"/>
      <c r="R738" s="309"/>
      <c r="S738" s="309"/>
      <c r="T738" s="309"/>
      <c r="U738" s="309"/>
      <c r="V738" s="309"/>
      <c r="W738" s="309"/>
      <c r="X738" s="309"/>
      <c r="Y738" s="309"/>
      <c r="Z738" s="309"/>
      <c r="AA738" s="309"/>
      <c r="AB738" s="309"/>
      <c r="AC738" s="309"/>
    </row>
    <row r="739" spans="1:29" ht="12.75" customHeight="1">
      <c r="A739" s="309"/>
      <c r="B739" s="309"/>
      <c r="C739" s="309"/>
      <c r="D739" s="309"/>
      <c r="E739" s="309"/>
      <c r="F739" s="309"/>
      <c r="G739" s="309"/>
      <c r="H739" s="309"/>
      <c r="I739" s="309"/>
      <c r="J739" s="309"/>
      <c r="K739" s="310"/>
      <c r="L739" s="309"/>
      <c r="M739" s="309"/>
      <c r="N739" s="309"/>
      <c r="O739" s="309"/>
      <c r="P739" s="309"/>
      <c r="Q739" s="309"/>
      <c r="R739" s="309"/>
      <c r="S739" s="309"/>
      <c r="T739" s="309"/>
      <c r="U739" s="309"/>
      <c r="V739" s="309"/>
      <c r="W739" s="309"/>
      <c r="X739" s="309"/>
      <c r="Y739" s="309"/>
      <c r="Z739" s="309"/>
      <c r="AA739" s="309"/>
      <c r="AB739" s="309"/>
      <c r="AC739" s="309"/>
    </row>
    <row r="740" spans="1:29" ht="12.75" customHeight="1">
      <c r="A740" s="309"/>
      <c r="B740" s="309"/>
      <c r="C740" s="309"/>
      <c r="D740" s="309"/>
      <c r="E740" s="309"/>
      <c r="F740" s="309"/>
      <c r="G740" s="309"/>
      <c r="H740" s="309"/>
      <c r="I740" s="309"/>
      <c r="J740" s="309"/>
      <c r="K740" s="310"/>
      <c r="L740" s="309"/>
      <c r="M740" s="309"/>
      <c r="N740" s="309"/>
      <c r="O740" s="309"/>
      <c r="P740" s="309"/>
      <c r="Q740" s="309"/>
      <c r="R740" s="309"/>
      <c r="S740" s="309"/>
      <c r="T740" s="309"/>
      <c r="U740" s="309"/>
      <c r="V740" s="309"/>
      <c r="W740" s="309"/>
      <c r="X740" s="309"/>
      <c r="Y740" s="309"/>
      <c r="Z740" s="309"/>
      <c r="AA740" s="309"/>
      <c r="AB740" s="309"/>
      <c r="AC740" s="309"/>
    </row>
    <row r="741" spans="1:29" ht="12.75" customHeight="1">
      <c r="A741" s="309"/>
      <c r="B741" s="309"/>
      <c r="C741" s="309"/>
      <c r="D741" s="309"/>
      <c r="E741" s="309"/>
      <c r="F741" s="309"/>
      <c r="G741" s="309"/>
      <c r="H741" s="309"/>
      <c r="I741" s="309"/>
      <c r="J741" s="309"/>
      <c r="K741" s="310"/>
      <c r="L741" s="309"/>
      <c r="M741" s="309"/>
      <c r="N741" s="309"/>
      <c r="O741" s="309"/>
      <c r="P741" s="309"/>
      <c r="Q741" s="309"/>
      <c r="R741" s="309"/>
      <c r="S741" s="309"/>
      <c r="T741" s="309"/>
      <c r="U741" s="309"/>
      <c r="V741" s="309"/>
      <c r="W741" s="309"/>
      <c r="X741" s="309"/>
      <c r="Y741" s="309"/>
      <c r="Z741" s="309"/>
      <c r="AA741" s="309"/>
      <c r="AB741" s="309"/>
      <c r="AC741" s="309"/>
    </row>
    <row r="742" spans="1:29" ht="12.75" customHeight="1">
      <c r="A742" s="309"/>
      <c r="B742" s="309"/>
      <c r="C742" s="309"/>
      <c r="D742" s="309"/>
      <c r="E742" s="309"/>
      <c r="F742" s="309"/>
      <c r="G742" s="309"/>
      <c r="H742" s="309"/>
      <c r="I742" s="309"/>
      <c r="J742" s="309"/>
      <c r="K742" s="310"/>
      <c r="L742" s="309"/>
      <c r="M742" s="309"/>
      <c r="N742" s="309"/>
      <c r="O742" s="309"/>
      <c r="P742" s="309"/>
      <c r="Q742" s="309"/>
      <c r="R742" s="309"/>
      <c r="S742" s="309"/>
      <c r="T742" s="309"/>
      <c r="U742" s="309"/>
      <c r="V742" s="309"/>
      <c r="W742" s="309"/>
      <c r="X742" s="309"/>
      <c r="Y742" s="309"/>
      <c r="Z742" s="309"/>
      <c r="AA742" s="309"/>
      <c r="AB742" s="309"/>
      <c r="AC742" s="309"/>
    </row>
    <row r="743" spans="1:29" ht="12.75" customHeight="1">
      <c r="A743" s="309"/>
      <c r="B743" s="309"/>
      <c r="C743" s="309"/>
      <c r="D743" s="309"/>
      <c r="E743" s="309"/>
      <c r="F743" s="309"/>
      <c r="G743" s="309"/>
      <c r="H743" s="309"/>
      <c r="I743" s="309"/>
      <c r="J743" s="309"/>
      <c r="K743" s="310"/>
      <c r="L743" s="309"/>
      <c r="M743" s="309"/>
      <c r="N743" s="309"/>
      <c r="O743" s="309"/>
      <c r="P743" s="309"/>
      <c r="Q743" s="309"/>
      <c r="R743" s="309"/>
      <c r="S743" s="309"/>
      <c r="T743" s="309"/>
      <c r="U743" s="309"/>
      <c r="V743" s="309"/>
      <c r="W743" s="309"/>
      <c r="X743" s="309"/>
      <c r="Y743" s="309"/>
      <c r="Z743" s="309"/>
      <c r="AA743" s="309"/>
      <c r="AB743" s="309"/>
      <c r="AC743" s="309"/>
    </row>
    <row r="744" spans="1:29" ht="12.75" customHeight="1">
      <c r="A744" s="309"/>
      <c r="B744" s="309"/>
      <c r="C744" s="309"/>
      <c r="D744" s="309"/>
      <c r="E744" s="309"/>
      <c r="F744" s="309"/>
      <c r="G744" s="309"/>
      <c r="H744" s="309"/>
      <c r="I744" s="309"/>
      <c r="J744" s="309"/>
      <c r="K744" s="310"/>
      <c r="L744" s="309"/>
      <c r="M744" s="309"/>
      <c r="N744" s="309"/>
      <c r="O744" s="309"/>
      <c r="P744" s="309"/>
      <c r="Q744" s="309"/>
      <c r="R744" s="309"/>
      <c r="S744" s="309"/>
      <c r="T744" s="309"/>
      <c r="U744" s="309"/>
      <c r="V744" s="309"/>
      <c r="W744" s="309"/>
      <c r="X744" s="309"/>
      <c r="Y744" s="309"/>
      <c r="Z744" s="309"/>
      <c r="AA744" s="309"/>
      <c r="AB744" s="309"/>
      <c r="AC744" s="309"/>
    </row>
    <row r="745" spans="1:29" ht="12.75" customHeight="1">
      <c r="A745" s="309"/>
      <c r="B745" s="309"/>
      <c r="C745" s="309"/>
      <c r="D745" s="309"/>
      <c r="E745" s="309"/>
      <c r="F745" s="309"/>
      <c r="G745" s="309"/>
      <c r="H745" s="309"/>
      <c r="I745" s="309"/>
      <c r="J745" s="309"/>
      <c r="K745" s="310"/>
      <c r="L745" s="309"/>
      <c r="M745" s="309"/>
      <c r="N745" s="309"/>
      <c r="O745" s="309"/>
      <c r="P745" s="309"/>
      <c r="Q745" s="309"/>
      <c r="R745" s="309"/>
      <c r="S745" s="309"/>
      <c r="T745" s="309"/>
      <c r="U745" s="309"/>
      <c r="V745" s="309"/>
      <c r="W745" s="309"/>
      <c r="X745" s="309"/>
      <c r="Y745" s="309"/>
      <c r="Z745" s="309"/>
      <c r="AA745" s="309"/>
      <c r="AB745" s="309"/>
      <c r="AC745" s="309"/>
    </row>
    <row r="746" spans="1:29" ht="12.75" customHeight="1">
      <c r="A746" s="309"/>
      <c r="B746" s="309"/>
      <c r="C746" s="309"/>
      <c r="D746" s="309"/>
      <c r="E746" s="309"/>
      <c r="F746" s="309"/>
      <c r="G746" s="309"/>
      <c r="H746" s="309"/>
      <c r="I746" s="309"/>
      <c r="J746" s="309"/>
      <c r="K746" s="310"/>
      <c r="L746" s="309"/>
      <c r="M746" s="309"/>
      <c r="N746" s="309"/>
      <c r="O746" s="309"/>
      <c r="P746" s="309"/>
      <c r="Q746" s="309"/>
      <c r="R746" s="309"/>
      <c r="S746" s="309"/>
      <c r="T746" s="309"/>
      <c r="U746" s="309"/>
      <c r="V746" s="309"/>
      <c r="W746" s="309"/>
      <c r="X746" s="309"/>
      <c r="Y746" s="309"/>
      <c r="Z746" s="309"/>
      <c r="AA746" s="309"/>
      <c r="AB746" s="309"/>
      <c r="AC746" s="309"/>
    </row>
    <row r="747" spans="1:29" ht="12.75" customHeight="1">
      <c r="A747" s="309"/>
      <c r="B747" s="309"/>
      <c r="C747" s="309"/>
      <c r="D747" s="309"/>
      <c r="E747" s="309"/>
      <c r="F747" s="309"/>
      <c r="G747" s="309"/>
      <c r="H747" s="309"/>
      <c r="I747" s="309"/>
      <c r="J747" s="309"/>
      <c r="K747" s="310"/>
      <c r="L747" s="309"/>
      <c r="M747" s="309"/>
      <c r="N747" s="309"/>
      <c r="O747" s="309"/>
      <c r="P747" s="309"/>
      <c r="Q747" s="309"/>
      <c r="R747" s="309"/>
      <c r="S747" s="309"/>
      <c r="T747" s="309"/>
      <c r="U747" s="309"/>
      <c r="V747" s="309"/>
      <c r="W747" s="309"/>
      <c r="X747" s="309"/>
      <c r="Y747" s="309"/>
      <c r="Z747" s="309"/>
      <c r="AA747" s="309"/>
      <c r="AB747" s="309"/>
      <c r="AC747" s="309"/>
    </row>
    <row r="748" spans="1:29" ht="12.75" customHeight="1">
      <c r="A748" s="309"/>
      <c r="B748" s="309"/>
      <c r="C748" s="309"/>
      <c r="D748" s="309"/>
      <c r="E748" s="309"/>
      <c r="F748" s="309"/>
      <c r="G748" s="309"/>
      <c r="H748" s="309"/>
      <c r="I748" s="309"/>
      <c r="J748" s="309"/>
      <c r="K748" s="310"/>
      <c r="L748" s="309"/>
      <c r="M748" s="309"/>
      <c r="N748" s="309"/>
      <c r="O748" s="309"/>
      <c r="P748" s="309"/>
      <c r="Q748" s="309"/>
      <c r="R748" s="309"/>
      <c r="S748" s="309"/>
      <c r="T748" s="309"/>
      <c r="U748" s="309"/>
      <c r="V748" s="309"/>
      <c r="W748" s="309"/>
      <c r="X748" s="309"/>
      <c r="Y748" s="309"/>
      <c r="Z748" s="309"/>
      <c r="AA748" s="309"/>
      <c r="AB748" s="309"/>
      <c r="AC748" s="309"/>
    </row>
    <row r="749" spans="1:29" ht="12.75" customHeight="1">
      <c r="A749" s="309"/>
      <c r="B749" s="309"/>
      <c r="C749" s="309"/>
      <c r="D749" s="309"/>
      <c r="E749" s="309"/>
      <c r="F749" s="309"/>
      <c r="G749" s="309"/>
      <c r="H749" s="309"/>
      <c r="I749" s="309"/>
      <c r="J749" s="309"/>
      <c r="K749" s="310"/>
      <c r="L749" s="309"/>
      <c r="M749" s="309"/>
      <c r="N749" s="309"/>
      <c r="O749" s="309"/>
      <c r="P749" s="309"/>
      <c r="Q749" s="309"/>
      <c r="R749" s="309"/>
      <c r="S749" s="309"/>
      <c r="T749" s="309"/>
      <c r="U749" s="309"/>
      <c r="V749" s="309"/>
      <c r="W749" s="309"/>
      <c r="X749" s="309"/>
      <c r="Y749" s="309"/>
      <c r="Z749" s="309"/>
      <c r="AA749" s="309"/>
      <c r="AB749" s="309"/>
      <c r="AC749" s="309"/>
    </row>
    <row r="750" spans="1:29" ht="12.75" customHeight="1">
      <c r="A750" s="309"/>
      <c r="B750" s="309"/>
      <c r="C750" s="309"/>
      <c r="D750" s="309"/>
      <c r="E750" s="309"/>
      <c r="F750" s="309"/>
      <c r="G750" s="309"/>
      <c r="H750" s="309"/>
      <c r="I750" s="309"/>
      <c r="J750" s="309"/>
      <c r="K750" s="310"/>
      <c r="L750" s="309"/>
      <c r="M750" s="309"/>
      <c r="N750" s="309"/>
      <c r="O750" s="309"/>
      <c r="P750" s="309"/>
      <c r="Q750" s="309"/>
      <c r="R750" s="309"/>
      <c r="S750" s="309"/>
      <c r="T750" s="309"/>
      <c r="U750" s="309"/>
      <c r="V750" s="309"/>
      <c r="W750" s="309"/>
      <c r="X750" s="309"/>
      <c r="Y750" s="309"/>
      <c r="Z750" s="309"/>
      <c r="AA750" s="309"/>
      <c r="AB750" s="309"/>
      <c r="AC750" s="309"/>
    </row>
    <row r="751" spans="1:29" ht="12.75" customHeight="1">
      <c r="A751" s="309"/>
      <c r="B751" s="309"/>
      <c r="C751" s="309"/>
      <c r="D751" s="309"/>
      <c r="E751" s="309"/>
      <c r="F751" s="309"/>
      <c r="G751" s="309"/>
      <c r="H751" s="309"/>
      <c r="I751" s="309"/>
      <c r="J751" s="309"/>
      <c r="K751" s="310"/>
      <c r="L751" s="309"/>
      <c r="M751" s="309"/>
      <c r="N751" s="309"/>
      <c r="O751" s="309"/>
      <c r="P751" s="309"/>
      <c r="Q751" s="309"/>
      <c r="R751" s="309"/>
      <c r="S751" s="309"/>
      <c r="T751" s="309"/>
      <c r="U751" s="309"/>
      <c r="V751" s="309"/>
      <c r="W751" s="309"/>
      <c r="X751" s="309"/>
      <c r="Y751" s="309"/>
      <c r="Z751" s="309"/>
      <c r="AA751" s="309"/>
      <c r="AB751" s="309"/>
      <c r="AC751" s="309"/>
    </row>
    <row r="752" spans="1:29" ht="12.75" customHeight="1">
      <c r="A752" s="309"/>
      <c r="B752" s="309"/>
      <c r="C752" s="309"/>
      <c r="D752" s="309"/>
      <c r="E752" s="309"/>
      <c r="F752" s="309"/>
      <c r="G752" s="309"/>
      <c r="H752" s="309"/>
      <c r="I752" s="309"/>
      <c r="J752" s="309"/>
      <c r="K752" s="310"/>
      <c r="L752" s="309"/>
      <c r="M752" s="309"/>
      <c r="N752" s="309"/>
      <c r="O752" s="309"/>
      <c r="P752" s="309"/>
      <c r="Q752" s="309"/>
      <c r="R752" s="309"/>
      <c r="S752" s="309"/>
      <c r="T752" s="309"/>
      <c r="U752" s="309"/>
      <c r="V752" s="309"/>
      <c r="W752" s="309"/>
      <c r="X752" s="309"/>
      <c r="Y752" s="309"/>
      <c r="Z752" s="309"/>
      <c r="AA752" s="309"/>
      <c r="AB752" s="309"/>
      <c r="AC752" s="309"/>
    </row>
    <row r="753" spans="1:29" ht="12.75" customHeight="1">
      <c r="A753" s="309"/>
      <c r="B753" s="309"/>
      <c r="C753" s="309"/>
      <c r="D753" s="309"/>
      <c r="E753" s="309"/>
      <c r="F753" s="309"/>
      <c r="G753" s="309"/>
      <c r="H753" s="309"/>
      <c r="I753" s="309"/>
      <c r="J753" s="309"/>
      <c r="K753" s="310"/>
      <c r="L753" s="309"/>
      <c r="M753" s="309"/>
      <c r="N753" s="309"/>
      <c r="O753" s="309"/>
      <c r="P753" s="309"/>
      <c r="Q753" s="309"/>
      <c r="R753" s="309"/>
      <c r="S753" s="309"/>
      <c r="T753" s="309"/>
      <c r="U753" s="309"/>
      <c r="V753" s="309"/>
      <c r="W753" s="309"/>
      <c r="X753" s="309"/>
      <c r="Y753" s="309"/>
      <c r="Z753" s="309"/>
      <c r="AA753" s="309"/>
      <c r="AB753" s="309"/>
      <c r="AC753" s="309"/>
    </row>
    <row r="754" spans="1:29" ht="12.75" customHeight="1">
      <c r="A754" s="309"/>
      <c r="B754" s="309"/>
      <c r="C754" s="309"/>
      <c r="D754" s="309"/>
      <c r="E754" s="309"/>
      <c r="F754" s="309"/>
      <c r="G754" s="309"/>
      <c r="H754" s="309"/>
      <c r="I754" s="309"/>
      <c r="J754" s="309"/>
      <c r="K754" s="310"/>
      <c r="L754" s="309"/>
      <c r="M754" s="309"/>
      <c r="N754" s="309"/>
      <c r="O754" s="309"/>
      <c r="P754" s="309"/>
      <c r="Q754" s="309"/>
      <c r="R754" s="309"/>
      <c r="S754" s="309"/>
      <c r="T754" s="309"/>
      <c r="U754" s="309"/>
      <c r="V754" s="309"/>
      <c r="W754" s="309"/>
      <c r="X754" s="309"/>
      <c r="Y754" s="309"/>
      <c r="Z754" s="309"/>
      <c r="AA754" s="309"/>
      <c r="AB754" s="309"/>
      <c r="AC754" s="309"/>
    </row>
    <row r="755" spans="1:29" ht="12.75" customHeight="1">
      <c r="A755" s="309"/>
      <c r="B755" s="309"/>
      <c r="C755" s="309"/>
      <c r="D755" s="309"/>
      <c r="E755" s="309"/>
      <c r="F755" s="309"/>
      <c r="G755" s="309"/>
      <c r="H755" s="309"/>
      <c r="I755" s="309"/>
      <c r="J755" s="309"/>
      <c r="K755" s="310"/>
      <c r="L755" s="309"/>
      <c r="M755" s="309"/>
      <c r="N755" s="309"/>
      <c r="O755" s="309"/>
      <c r="P755" s="309"/>
      <c r="Q755" s="309"/>
      <c r="R755" s="309"/>
      <c r="S755" s="309"/>
      <c r="T755" s="309"/>
      <c r="U755" s="309"/>
      <c r="V755" s="309"/>
      <c r="W755" s="309"/>
      <c r="X755" s="309"/>
      <c r="Y755" s="309"/>
      <c r="Z755" s="309"/>
      <c r="AA755" s="309"/>
      <c r="AB755" s="309"/>
      <c r="AC755" s="309"/>
    </row>
    <row r="756" spans="1:29" ht="12.75" customHeight="1">
      <c r="A756" s="309"/>
      <c r="B756" s="309"/>
      <c r="C756" s="309"/>
      <c r="D756" s="309"/>
      <c r="E756" s="309"/>
      <c r="F756" s="309"/>
      <c r="G756" s="309"/>
      <c r="H756" s="309"/>
      <c r="I756" s="309"/>
      <c r="J756" s="309"/>
      <c r="K756" s="310"/>
      <c r="L756" s="309"/>
      <c r="M756" s="309"/>
      <c r="N756" s="309"/>
      <c r="O756" s="309"/>
      <c r="P756" s="309"/>
      <c r="Q756" s="309"/>
      <c r="R756" s="309"/>
      <c r="S756" s="309"/>
      <c r="T756" s="309"/>
      <c r="U756" s="309"/>
      <c r="V756" s="309"/>
      <c r="W756" s="309"/>
      <c r="X756" s="309"/>
      <c r="Y756" s="309"/>
      <c r="Z756" s="309"/>
      <c r="AA756" s="309"/>
      <c r="AB756" s="309"/>
      <c r="AC756" s="309"/>
    </row>
    <row r="757" spans="1:29" ht="12.75" customHeight="1">
      <c r="A757" s="309"/>
      <c r="B757" s="309"/>
      <c r="C757" s="309"/>
      <c r="D757" s="309"/>
      <c r="E757" s="309"/>
      <c r="F757" s="309"/>
      <c r="G757" s="309"/>
      <c r="H757" s="309"/>
      <c r="I757" s="309"/>
      <c r="J757" s="309"/>
      <c r="K757" s="310"/>
      <c r="L757" s="309"/>
      <c r="M757" s="309"/>
      <c r="N757" s="309"/>
      <c r="O757" s="309"/>
      <c r="P757" s="309"/>
      <c r="Q757" s="309"/>
      <c r="R757" s="309"/>
      <c r="S757" s="309"/>
      <c r="T757" s="309"/>
      <c r="U757" s="309"/>
      <c r="V757" s="309"/>
      <c r="W757" s="309"/>
      <c r="X757" s="309"/>
      <c r="Y757" s="309"/>
      <c r="Z757" s="309"/>
      <c r="AA757" s="309"/>
      <c r="AB757" s="309"/>
      <c r="AC757" s="309"/>
    </row>
    <row r="758" spans="1:29" ht="12.75" customHeight="1">
      <c r="A758" s="309"/>
      <c r="B758" s="309"/>
      <c r="C758" s="309"/>
      <c r="D758" s="309"/>
      <c r="E758" s="309"/>
      <c r="F758" s="309"/>
      <c r="G758" s="309"/>
      <c r="H758" s="309"/>
      <c r="I758" s="309"/>
      <c r="J758" s="309"/>
      <c r="K758" s="310"/>
      <c r="L758" s="309"/>
      <c r="M758" s="309"/>
      <c r="N758" s="309"/>
      <c r="O758" s="309"/>
      <c r="P758" s="309"/>
      <c r="Q758" s="309"/>
      <c r="R758" s="309"/>
      <c r="S758" s="309"/>
      <c r="T758" s="309"/>
      <c r="U758" s="309"/>
      <c r="V758" s="309"/>
      <c r="W758" s="309"/>
      <c r="X758" s="309"/>
      <c r="Y758" s="309"/>
      <c r="Z758" s="309"/>
      <c r="AA758" s="309"/>
      <c r="AB758" s="309"/>
      <c r="AC758" s="309"/>
    </row>
    <row r="759" spans="1:29" ht="12.75" customHeight="1">
      <c r="A759" s="309"/>
      <c r="B759" s="309"/>
      <c r="C759" s="309"/>
      <c r="D759" s="309"/>
      <c r="E759" s="309"/>
      <c r="F759" s="309"/>
      <c r="G759" s="309"/>
      <c r="H759" s="309"/>
      <c r="I759" s="309"/>
      <c r="J759" s="309"/>
      <c r="K759" s="310"/>
      <c r="L759" s="309"/>
      <c r="M759" s="309"/>
      <c r="N759" s="309"/>
      <c r="O759" s="309"/>
      <c r="P759" s="309"/>
      <c r="Q759" s="309"/>
      <c r="R759" s="309"/>
      <c r="S759" s="309"/>
      <c r="T759" s="309"/>
      <c r="U759" s="309"/>
      <c r="V759" s="309"/>
      <c r="W759" s="309"/>
      <c r="X759" s="309"/>
      <c r="Y759" s="309"/>
      <c r="Z759" s="309"/>
      <c r="AA759" s="309"/>
      <c r="AB759" s="309"/>
      <c r="AC759" s="309"/>
    </row>
    <row r="760" spans="1:29" ht="12.75" customHeight="1">
      <c r="A760" s="309"/>
      <c r="B760" s="309"/>
      <c r="C760" s="309"/>
      <c r="D760" s="309"/>
      <c r="E760" s="309"/>
      <c r="F760" s="309"/>
      <c r="G760" s="309"/>
      <c r="H760" s="309"/>
      <c r="I760" s="309"/>
      <c r="J760" s="309"/>
      <c r="K760" s="310"/>
      <c r="L760" s="309"/>
      <c r="M760" s="309"/>
      <c r="N760" s="309"/>
      <c r="O760" s="309"/>
      <c r="P760" s="309"/>
      <c r="Q760" s="309"/>
      <c r="R760" s="309"/>
      <c r="S760" s="309"/>
      <c r="T760" s="309"/>
      <c r="U760" s="309"/>
      <c r="V760" s="309"/>
      <c r="W760" s="309"/>
      <c r="X760" s="309"/>
      <c r="Y760" s="309"/>
      <c r="Z760" s="309"/>
      <c r="AA760" s="309"/>
      <c r="AB760" s="309"/>
      <c r="AC760" s="309"/>
    </row>
    <row r="761" spans="1:29" ht="12.75" customHeight="1">
      <c r="A761" s="309"/>
      <c r="B761" s="309"/>
      <c r="C761" s="309"/>
      <c r="D761" s="309"/>
      <c r="E761" s="309"/>
      <c r="F761" s="309"/>
      <c r="G761" s="309"/>
      <c r="H761" s="309"/>
      <c r="I761" s="309"/>
      <c r="J761" s="309"/>
      <c r="K761" s="310"/>
      <c r="L761" s="309"/>
      <c r="M761" s="309"/>
      <c r="N761" s="309"/>
      <c r="O761" s="309"/>
      <c r="P761" s="309"/>
      <c r="Q761" s="309"/>
      <c r="R761" s="309"/>
      <c r="S761" s="309"/>
      <c r="T761" s="309"/>
      <c r="U761" s="309"/>
      <c r="V761" s="309"/>
      <c r="W761" s="309"/>
      <c r="X761" s="309"/>
      <c r="Y761" s="309"/>
      <c r="Z761" s="309"/>
      <c r="AA761" s="309"/>
      <c r="AB761" s="309"/>
      <c r="AC761" s="309"/>
    </row>
    <row r="762" spans="1:29" ht="12.75" customHeight="1">
      <c r="A762" s="309"/>
      <c r="B762" s="309"/>
      <c r="C762" s="309"/>
      <c r="D762" s="309"/>
      <c r="E762" s="309"/>
      <c r="F762" s="309"/>
      <c r="G762" s="309"/>
      <c r="H762" s="309"/>
      <c r="I762" s="309"/>
      <c r="J762" s="309"/>
      <c r="K762" s="310"/>
      <c r="L762" s="309"/>
      <c r="M762" s="309"/>
      <c r="N762" s="309"/>
      <c r="O762" s="309"/>
      <c r="P762" s="309"/>
      <c r="Q762" s="309"/>
      <c r="R762" s="309"/>
      <c r="S762" s="309"/>
      <c r="T762" s="309"/>
      <c r="U762" s="309"/>
      <c r="V762" s="309"/>
      <c r="W762" s="309"/>
      <c r="X762" s="309"/>
      <c r="Y762" s="309"/>
      <c r="Z762" s="309"/>
      <c r="AA762" s="309"/>
      <c r="AB762" s="309"/>
      <c r="AC762" s="309"/>
    </row>
    <row r="763" spans="1:29" ht="12.75" customHeight="1">
      <c r="A763" s="309"/>
      <c r="B763" s="309"/>
      <c r="C763" s="309"/>
      <c r="D763" s="309"/>
      <c r="E763" s="309"/>
      <c r="F763" s="309"/>
      <c r="G763" s="309"/>
      <c r="H763" s="309"/>
      <c r="I763" s="309"/>
      <c r="J763" s="309"/>
      <c r="K763" s="310"/>
      <c r="L763" s="309"/>
      <c r="M763" s="309"/>
      <c r="N763" s="309"/>
      <c r="O763" s="309"/>
      <c r="P763" s="309"/>
      <c r="Q763" s="309"/>
      <c r="R763" s="309"/>
      <c r="S763" s="309"/>
      <c r="T763" s="309"/>
      <c r="U763" s="309"/>
      <c r="V763" s="309"/>
      <c r="W763" s="309"/>
      <c r="X763" s="309"/>
      <c r="Y763" s="309"/>
      <c r="Z763" s="309"/>
      <c r="AA763" s="309"/>
      <c r="AB763" s="309"/>
      <c r="AC763" s="309"/>
    </row>
    <row r="764" spans="1:29" ht="12.75" customHeight="1">
      <c r="A764" s="309"/>
      <c r="B764" s="309"/>
      <c r="C764" s="309"/>
      <c r="D764" s="309"/>
      <c r="E764" s="309"/>
      <c r="F764" s="309"/>
      <c r="G764" s="309"/>
      <c r="H764" s="309"/>
      <c r="I764" s="309"/>
      <c r="J764" s="309"/>
      <c r="K764" s="310"/>
      <c r="L764" s="309"/>
      <c r="M764" s="309"/>
      <c r="N764" s="309"/>
      <c r="O764" s="309"/>
      <c r="P764" s="309"/>
      <c r="Q764" s="309"/>
      <c r="R764" s="309"/>
      <c r="S764" s="309"/>
      <c r="T764" s="309"/>
      <c r="U764" s="309"/>
      <c r="V764" s="309"/>
      <c r="W764" s="309"/>
      <c r="X764" s="309"/>
      <c r="Y764" s="309"/>
      <c r="Z764" s="309"/>
      <c r="AA764" s="309"/>
      <c r="AB764" s="309"/>
      <c r="AC764" s="309"/>
    </row>
    <row r="765" spans="1:29" ht="12.75" customHeight="1">
      <c r="A765" s="309"/>
      <c r="B765" s="309"/>
      <c r="C765" s="309"/>
      <c r="D765" s="309"/>
      <c r="E765" s="309"/>
      <c r="F765" s="309"/>
      <c r="G765" s="309"/>
      <c r="H765" s="309"/>
      <c r="I765" s="309"/>
      <c r="J765" s="309"/>
      <c r="K765" s="310"/>
      <c r="L765" s="309"/>
      <c r="M765" s="309"/>
      <c r="N765" s="309"/>
      <c r="O765" s="309"/>
      <c r="P765" s="309"/>
      <c r="Q765" s="309"/>
      <c r="R765" s="309"/>
      <c r="S765" s="309"/>
      <c r="T765" s="309"/>
      <c r="U765" s="309"/>
      <c r="V765" s="309"/>
      <c r="W765" s="309"/>
      <c r="X765" s="309"/>
      <c r="Y765" s="309"/>
      <c r="Z765" s="309"/>
      <c r="AA765" s="309"/>
      <c r="AB765" s="309"/>
      <c r="AC765" s="309"/>
    </row>
    <row r="766" spans="1:29" ht="12.75" customHeight="1">
      <c r="A766" s="309"/>
      <c r="B766" s="309"/>
      <c r="C766" s="309"/>
      <c r="D766" s="309"/>
      <c r="E766" s="309"/>
      <c r="F766" s="309"/>
      <c r="G766" s="309"/>
      <c r="H766" s="309"/>
      <c r="I766" s="309"/>
      <c r="J766" s="309"/>
      <c r="K766" s="310"/>
      <c r="L766" s="309"/>
      <c r="M766" s="309"/>
      <c r="N766" s="309"/>
      <c r="O766" s="309"/>
      <c r="P766" s="309"/>
      <c r="Q766" s="309"/>
      <c r="R766" s="309"/>
      <c r="S766" s="309"/>
      <c r="T766" s="309"/>
      <c r="U766" s="309"/>
      <c r="V766" s="309"/>
      <c r="W766" s="309"/>
      <c r="X766" s="309"/>
      <c r="Y766" s="309"/>
      <c r="Z766" s="309"/>
      <c r="AA766" s="309"/>
      <c r="AB766" s="309"/>
      <c r="AC766" s="309"/>
    </row>
    <row r="767" spans="1:29" ht="12.75" customHeight="1">
      <c r="A767" s="309"/>
      <c r="B767" s="309"/>
      <c r="C767" s="309"/>
      <c r="D767" s="309"/>
      <c r="E767" s="309"/>
      <c r="F767" s="309"/>
      <c r="G767" s="309"/>
      <c r="H767" s="309"/>
      <c r="I767" s="309"/>
      <c r="J767" s="309"/>
      <c r="K767" s="310"/>
      <c r="L767" s="309"/>
      <c r="M767" s="309"/>
      <c r="N767" s="309"/>
      <c r="O767" s="309"/>
      <c r="P767" s="309"/>
      <c r="Q767" s="309"/>
      <c r="R767" s="309"/>
      <c r="S767" s="309"/>
      <c r="T767" s="309"/>
      <c r="U767" s="309"/>
      <c r="V767" s="309"/>
      <c r="W767" s="309"/>
      <c r="X767" s="309"/>
      <c r="Y767" s="309"/>
      <c r="Z767" s="309"/>
      <c r="AA767" s="309"/>
      <c r="AB767" s="309"/>
      <c r="AC767" s="309"/>
    </row>
    <row r="768" spans="1:29" ht="12.75" customHeight="1">
      <c r="A768" s="309"/>
      <c r="B768" s="309"/>
      <c r="C768" s="309"/>
      <c r="D768" s="309"/>
      <c r="E768" s="309"/>
      <c r="F768" s="309"/>
      <c r="G768" s="309"/>
      <c r="H768" s="309"/>
      <c r="I768" s="309"/>
      <c r="J768" s="309"/>
      <c r="K768" s="310"/>
      <c r="L768" s="309"/>
      <c r="M768" s="309"/>
      <c r="N768" s="309"/>
      <c r="O768" s="309"/>
      <c r="P768" s="309"/>
      <c r="Q768" s="309"/>
      <c r="R768" s="309"/>
      <c r="S768" s="309"/>
      <c r="T768" s="309"/>
      <c r="U768" s="309"/>
      <c r="V768" s="309"/>
      <c r="W768" s="309"/>
      <c r="X768" s="309"/>
      <c r="Y768" s="309"/>
      <c r="Z768" s="309"/>
      <c r="AA768" s="309"/>
      <c r="AB768" s="309"/>
      <c r="AC768" s="309"/>
    </row>
    <row r="769" spans="1:29" ht="12.75" customHeight="1">
      <c r="A769" s="309"/>
      <c r="B769" s="309"/>
      <c r="C769" s="309"/>
      <c r="D769" s="309"/>
      <c r="E769" s="309"/>
      <c r="F769" s="309"/>
      <c r="G769" s="309"/>
      <c r="H769" s="309"/>
      <c r="I769" s="309"/>
      <c r="J769" s="309"/>
      <c r="K769" s="310"/>
      <c r="L769" s="309"/>
      <c r="M769" s="309"/>
      <c r="N769" s="309"/>
      <c r="O769" s="309"/>
      <c r="P769" s="309"/>
      <c r="Q769" s="309"/>
      <c r="R769" s="309"/>
      <c r="S769" s="309"/>
      <c r="T769" s="309"/>
      <c r="U769" s="309"/>
      <c r="V769" s="309"/>
      <c r="W769" s="309"/>
      <c r="X769" s="309"/>
      <c r="Y769" s="309"/>
      <c r="Z769" s="309"/>
      <c r="AA769" s="309"/>
      <c r="AB769" s="309"/>
      <c r="AC769" s="309"/>
    </row>
    <row r="770" spans="1:29" ht="12.75" customHeight="1">
      <c r="A770" s="309"/>
      <c r="B770" s="309"/>
      <c r="C770" s="309"/>
      <c r="D770" s="309"/>
      <c r="E770" s="309"/>
      <c r="F770" s="309"/>
      <c r="G770" s="309"/>
      <c r="H770" s="309"/>
      <c r="I770" s="309"/>
      <c r="J770" s="309"/>
      <c r="K770" s="310"/>
      <c r="L770" s="309"/>
      <c r="M770" s="309"/>
      <c r="N770" s="309"/>
      <c r="O770" s="309"/>
      <c r="P770" s="309"/>
      <c r="Q770" s="309"/>
      <c r="R770" s="309"/>
      <c r="S770" s="309"/>
      <c r="T770" s="309"/>
      <c r="U770" s="309"/>
      <c r="V770" s="309"/>
      <c r="W770" s="309"/>
      <c r="X770" s="309"/>
      <c r="Y770" s="309"/>
      <c r="Z770" s="309"/>
      <c r="AA770" s="309"/>
      <c r="AB770" s="309"/>
      <c r="AC770" s="309"/>
    </row>
    <row r="771" spans="1:29" ht="12.75" customHeight="1">
      <c r="A771" s="309"/>
      <c r="B771" s="309"/>
      <c r="C771" s="309"/>
      <c r="D771" s="309"/>
      <c r="E771" s="309"/>
      <c r="F771" s="309"/>
      <c r="G771" s="309"/>
      <c r="H771" s="309"/>
      <c r="I771" s="309"/>
      <c r="J771" s="309"/>
      <c r="K771" s="310"/>
      <c r="L771" s="309"/>
      <c r="M771" s="309"/>
      <c r="N771" s="309"/>
      <c r="O771" s="309"/>
      <c r="P771" s="309"/>
      <c r="Q771" s="309"/>
      <c r="R771" s="309"/>
      <c r="S771" s="309"/>
      <c r="T771" s="309"/>
      <c r="U771" s="309"/>
      <c r="V771" s="309"/>
      <c r="W771" s="309"/>
      <c r="X771" s="309"/>
      <c r="Y771" s="309"/>
      <c r="Z771" s="309"/>
      <c r="AA771" s="309"/>
      <c r="AB771" s="309"/>
      <c r="AC771" s="309"/>
    </row>
    <row r="772" spans="1:29" ht="12.75" customHeight="1">
      <c r="A772" s="309"/>
      <c r="B772" s="309"/>
      <c r="C772" s="309"/>
      <c r="D772" s="309"/>
      <c r="E772" s="309"/>
      <c r="F772" s="309"/>
      <c r="G772" s="309"/>
      <c r="H772" s="309"/>
      <c r="I772" s="309"/>
      <c r="J772" s="309"/>
      <c r="K772" s="310"/>
      <c r="L772" s="309"/>
      <c r="M772" s="309"/>
      <c r="N772" s="309"/>
      <c r="O772" s="309"/>
      <c r="P772" s="309"/>
      <c r="Q772" s="309"/>
      <c r="R772" s="309"/>
      <c r="S772" s="309"/>
      <c r="T772" s="309"/>
      <c r="U772" s="309"/>
      <c r="V772" s="309"/>
      <c r="W772" s="309"/>
      <c r="X772" s="309"/>
      <c r="Y772" s="309"/>
      <c r="Z772" s="309"/>
      <c r="AA772" s="309"/>
      <c r="AB772" s="309"/>
      <c r="AC772" s="309"/>
    </row>
    <row r="773" spans="1:29" ht="12.75" customHeight="1">
      <c r="A773" s="309"/>
      <c r="B773" s="309"/>
      <c r="C773" s="309"/>
      <c r="D773" s="309"/>
      <c r="E773" s="309"/>
      <c r="F773" s="309"/>
      <c r="G773" s="309"/>
      <c r="H773" s="309"/>
      <c r="I773" s="309"/>
      <c r="J773" s="309"/>
      <c r="K773" s="310"/>
      <c r="L773" s="309"/>
      <c r="M773" s="309"/>
      <c r="N773" s="309"/>
      <c r="O773" s="309"/>
      <c r="P773" s="309"/>
      <c r="Q773" s="309"/>
      <c r="R773" s="309"/>
      <c r="S773" s="309"/>
      <c r="T773" s="309"/>
      <c r="U773" s="309"/>
      <c r="V773" s="309"/>
      <c r="W773" s="309"/>
      <c r="X773" s="309"/>
      <c r="Y773" s="309"/>
      <c r="Z773" s="309"/>
      <c r="AA773" s="309"/>
      <c r="AB773" s="309"/>
      <c r="AC773" s="309"/>
    </row>
    <row r="774" spans="1:29" ht="12.75" customHeight="1">
      <c r="A774" s="309"/>
      <c r="B774" s="309"/>
      <c r="C774" s="309"/>
      <c r="D774" s="309"/>
      <c r="E774" s="309"/>
      <c r="F774" s="309"/>
      <c r="G774" s="309"/>
      <c r="H774" s="309"/>
      <c r="I774" s="309"/>
      <c r="J774" s="309"/>
      <c r="K774" s="310"/>
      <c r="L774" s="309"/>
      <c r="M774" s="309"/>
      <c r="N774" s="309"/>
      <c r="O774" s="309"/>
      <c r="P774" s="309"/>
      <c r="Q774" s="309"/>
      <c r="R774" s="309"/>
      <c r="S774" s="309"/>
      <c r="T774" s="309"/>
      <c r="U774" s="309"/>
      <c r="V774" s="309"/>
      <c r="W774" s="309"/>
      <c r="X774" s="309"/>
      <c r="Y774" s="309"/>
      <c r="Z774" s="309"/>
      <c r="AA774" s="309"/>
      <c r="AB774" s="309"/>
      <c r="AC774" s="309"/>
    </row>
    <row r="775" spans="1:29" ht="12.75" customHeight="1">
      <c r="A775" s="309"/>
      <c r="B775" s="309"/>
      <c r="C775" s="309"/>
      <c r="D775" s="309"/>
      <c r="E775" s="309"/>
      <c r="F775" s="309"/>
      <c r="G775" s="309"/>
      <c r="H775" s="309"/>
      <c r="I775" s="309"/>
      <c r="J775" s="309"/>
      <c r="K775" s="310"/>
      <c r="L775" s="309"/>
      <c r="M775" s="309"/>
      <c r="N775" s="309"/>
      <c r="O775" s="309"/>
      <c r="P775" s="309"/>
      <c r="Q775" s="309"/>
      <c r="R775" s="309"/>
      <c r="S775" s="309"/>
      <c r="T775" s="309"/>
      <c r="U775" s="309"/>
      <c r="V775" s="309"/>
      <c r="W775" s="309"/>
      <c r="X775" s="309"/>
      <c r="Y775" s="309"/>
      <c r="Z775" s="309"/>
      <c r="AA775" s="309"/>
      <c r="AB775" s="309"/>
      <c r="AC775" s="309"/>
    </row>
    <row r="776" spans="1:29" ht="12.75" customHeight="1">
      <c r="A776" s="309"/>
      <c r="B776" s="309"/>
      <c r="C776" s="309"/>
      <c r="D776" s="309"/>
      <c r="E776" s="309"/>
      <c r="F776" s="309"/>
      <c r="G776" s="309"/>
      <c r="H776" s="309"/>
      <c r="I776" s="309"/>
      <c r="J776" s="309"/>
      <c r="K776" s="310"/>
      <c r="L776" s="309"/>
      <c r="M776" s="309"/>
      <c r="N776" s="309"/>
      <c r="O776" s="309"/>
      <c r="P776" s="309"/>
      <c r="Q776" s="309"/>
      <c r="R776" s="309"/>
      <c r="S776" s="309"/>
      <c r="T776" s="309"/>
      <c r="U776" s="309"/>
      <c r="V776" s="309"/>
      <c r="W776" s="309"/>
      <c r="X776" s="309"/>
      <c r="Y776" s="309"/>
      <c r="Z776" s="309"/>
      <c r="AA776" s="309"/>
      <c r="AB776" s="309"/>
      <c r="AC776" s="309"/>
    </row>
    <row r="777" spans="1:29" ht="12.75" customHeight="1">
      <c r="A777" s="309"/>
      <c r="B777" s="309"/>
      <c r="C777" s="309"/>
      <c r="D777" s="309"/>
      <c r="E777" s="309"/>
      <c r="F777" s="309"/>
      <c r="G777" s="309"/>
      <c r="H777" s="309"/>
      <c r="I777" s="309"/>
      <c r="J777" s="309"/>
      <c r="K777" s="310"/>
      <c r="L777" s="309"/>
      <c r="M777" s="309"/>
      <c r="N777" s="309"/>
      <c r="O777" s="309"/>
      <c r="P777" s="309"/>
      <c r="Q777" s="309"/>
      <c r="R777" s="309"/>
      <c r="S777" s="309"/>
      <c r="T777" s="309"/>
      <c r="U777" s="309"/>
      <c r="V777" s="309"/>
      <c r="W777" s="309"/>
      <c r="X777" s="309"/>
      <c r="Y777" s="309"/>
      <c r="Z777" s="309"/>
      <c r="AA777" s="309"/>
      <c r="AB777" s="309"/>
      <c r="AC777" s="309"/>
    </row>
    <row r="778" spans="1:29" ht="12.75" customHeight="1">
      <c r="A778" s="309"/>
      <c r="B778" s="309"/>
      <c r="C778" s="309"/>
      <c r="D778" s="309"/>
      <c r="E778" s="309"/>
      <c r="F778" s="309"/>
      <c r="G778" s="309"/>
      <c r="H778" s="309"/>
      <c r="I778" s="309"/>
      <c r="J778" s="309"/>
      <c r="K778" s="310"/>
      <c r="L778" s="309"/>
      <c r="M778" s="309"/>
      <c r="N778" s="309"/>
      <c r="O778" s="309"/>
      <c r="P778" s="309"/>
      <c r="Q778" s="309"/>
      <c r="R778" s="309"/>
      <c r="S778" s="309"/>
      <c r="T778" s="309"/>
      <c r="U778" s="309"/>
      <c r="V778" s="309"/>
      <c r="W778" s="309"/>
      <c r="X778" s="309"/>
      <c r="Y778" s="309"/>
      <c r="Z778" s="309"/>
      <c r="AA778" s="309"/>
      <c r="AB778" s="309"/>
      <c r="AC778" s="309"/>
    </row>
    <row r="779" spans="1:29" ht="12.75" customHeight="1">
      <c r="A779" s="309"/>
      <c r="B779" s="309"/>
      <c r="C779" s="309"/>
      <c r="D779" s="309"/>
      <c r="E779" s="309"/>
      <c r="F779" s="309"/>
      <c r="G779" s="309"/>
      <c r="H779" s="309"/>
      <c r="I779" s="309"/>
      <c r="J779" s="309"/>
      <c r="K779" s="310"/>
      <c r="L779" s="309"/>
      <c r="M779" s="309"/>
      <c r="N779" s="309"/>
      <c r="O779" s="309"/>
      <c r="P779" s="309"/>
      <c r="Q779" s="309"/>
      <c r="R779" s="309"/>
      <c r="S779" s="309"/>
      <c r="T779" s="309"/>
      <c r="U779" s="309"/>
      <c r="V779" s="309"/>
      <c r="W779" s="309"/>
      <c r="X779" s="309"/>
      <c r="Y779" s="309"/>
      <c r="Z779" s="309"/>
      <c r="AA779" s="309"/>
      <c r="AB779" s="309"/>
      <c r="AC779" s="309"/>
    </row>
    <row r="780" spans="1:29" ht="12.75" customHeight="1">
      <c r="A780" s="309"/>
      <c r="B780" s="309"/>
      <c r="C780" s="309"/>
      <c r="D780" s="309"/>
      <c r="E780" s="309"/>
      <c r="F780" s="309"/>
      <c r="G780" s="309"/>
      <c r="H780" s="309"/>
      <c r="I780" s="309"/>
      <c r="J780" s="309"/>
      <c r="K780" s="310"/>
      <c r="L780" s="309"/>
      <c r="M780" s="309"/>
      <c r="N780" s="309"/>
      <c r="O780" s="309"/>
      <c r="P780" s="309"/>
      <c r="Q780" s="309"/>
      <c r="R780" s="309"/>
      <c r="S780" s="309"/>
      <c r="T780" s="309"/>
      <c r="U780" s="309"/>
      <c r="V780" s="309"/>
      <c r="W780" s="309"/>
      <c r="X780" s="309"/>
      <c r="Y780" s="309"/>
      <c r="Z780" s="309"/>
      <c r="AA780" s="309"/>
      <c r="AB780" s="309"/>
      <c r="AC780" s="309"/>
    </row>
    <row r="781" spans="1:29" ht="12.75" customHeight="1">
      <c r="A781" s="309"/>
      <c r="B781" s="309"/>
      <c r="C781" s="309"/>
      <c r="D781" s="309"/>
      <c r="E781" s="309"/>
      <c r="F781" s="309"/>
      <c r="G781" s="309"/>
      <c r="H781" s="309"/>
      <c r="I781" s="309"/>
      <c r="J781" s="309"/>
      <c r="K781" s="310"/>
      <c r="L781" s="309"/>
      <c r="M781" s="309"/>
      <c r="N781" s="309"/>
      <c r="O781" s="309"/>
      <c r="P781" s="309"/>
      <c r="Q781" s="309"/>
      <c r="R781" s="309"/>
      <c r="S781" s="309"/>
      <c r="T781" s="309"/>
      <c r="U781" s="309"/>
      <c r="V781" s="309"/>
      <c r="W781" s="309"/>
      <c r="X781" s="309"/>
      <c r="Y781" s="309"/>
      <c r="Z781" s="309"/>
      <c r="AA781" s="309"/>
      <c r="AB781" s="309"/>
      <c r="AC781" s="309"/>
    </row>
    <row r="782" spans="1:29" ht="12.75" customHeight="1">
      <c r="A782" s="309"/>
      <c r="B782" s="309"/>
      <c r="C782" s="309"/>
      <c r="D782" s="309"/>
      <c r="E782" s="309"/>
      <c r="F782" s="309"/>
      <c r="G782" s="309"/>
      <c r="H782" s="309"/>
      <c r="I782" s="309"/>
      <c r="J782" s="309"/>
      <c r="K782" s="310"/>
      <c r="L782" s="309"/>
      <c r="M782" s="309"/>
      <c r="N782" s="309"/>
      <c r="O782" s="309"/>
      <c r="P782" s="309"/>
      <c r="Q782" s="309"/>
      <c r="R782" s="309"/>
      <c r="S782" s="309"/>
      <c r="T782" s="309"/>
      <c r="U782" s="309"/>
      <c r="V782" s="309"/>
      <c r="W782" s="309"/>
      <c r="X782" s="309"/>
      <c r="Y782" s="309"/>
      <c r="Z782" s="309"/>
      <c r="AA782" s="309"/>
      <c r="AB782" s="309"/>
      <c r="AC782" s="309"/>
    </row>
    <row r="783" spans="1:29" ht="12.75" customHeight="1">
      <c r="A783" s="309"/>
      <c r="B783" s="309"/>
      <c r="C783" s="309"/>
      <c r="D783" s="309"/>
      <c r="E783" s="309"/>
      <c r="F783" s="309"/>
      <c r="G783" s="309"/>
      <c r="H783" s="309"/>
      <c r="I783" s="309"/>
      <c r="J783" s="309"/>
      <c r="K783" s="310"/>
      <c r="L783" s="309"/>
      <c r="M783" s="309"/>
      <c r="N783" s="309"/>
      <c r="O783" s="309"/>
      <c r="P783" s="309"/>
      <c r="Q783" s="309"/>
      <c r="R783" s="309"/>
      <c r="S783" s="309"/>
      <c r="T783" s="309"/>
      <c r="U783" s="309"/>
      <c r="V783" s="309"/>
      <c r="W783" s="309"/>
      <c r="X783" s="309"/>
      <c r="Y783" s="309"/>
      <c r="Z783" s="309"/>
      <c r="AA783" s="309"/>
      <c r="AB783" s="309"/>
      <c r="AC783" s="309"/>
    </row>
    <row r="784" spans="1:29" ht="12.75" customHeight="1">
      <c r="A784" s="309"/>
      <c r="B784" s="309"/>
      <c r="C784" s="309"/>
      <c r="D784" s="309"/>
      <c r="E784" s="309"/>
      <c r="F784" s="309"/>
      <c r="G784" s="309"/>
      <c r="H784" s="309"/>
      <c r="I784" s="309"/>
      <c r="J784" s="309"/>
      <c r="K784" s="310"/>
      <c r="L784" s="309"/>
      <c r="M784" s="309"/>
      <c r="N784" s="309"/>
      <c r="O784" s="309"/>
      <c r="P784" s="309"/>
      <c r="Q784" s="309"/>
      <c r="R784" s="309"/>
      <c r="S784" s="309"/>
      <c r="T784" s="309"/>
      <c r="U784" s="309"/>
      <c r="V784" s="309"/>
      <c r="W784" s="309"/>
      <c r="X784" s="309"/>
      <c r="Y784" s="309"/>
      <c r="Z784" s="309"/>
      <c r="AA784" s="309"/>
      <c r="AB784" s="309"/>
      <c r="AC784" s="309"/>
    </row>
    <row r="785" spans="1:29" ht="12.75" customHeight="1">
      <c r="A785" s="309"/>
      <c r="B785" s="309"/>
      <c r="C785" s="309"/>
      <c r="D785" s="309"/>
      <c r="E785" s="309"/>
      <c r="F785" s="309"/>
      <c r="G785" s="309"/>
      <c r="H785" s="309"/>
      <c r="I785" s="309"/>
      <c r="J785" s="309"/>
      <c r="K785" s="310"/>
      <c r="L785" s="309"/>
      <c r="M785" s="309"/>
      <c r="N785" s="309"/>
      <c r="O785" s="309"/>
      <c r="P785" s="309"/>
      <c r="Q785" s="309"/>
      <c r="R785" s="309"/>
      <c r="S785" s="309"/>
      <c r="T785" s="309"/>
      <c r="U785" s="309"/>
      <c r="V785" s="309"/>
      <c r="W785" s="309"/>
      <c r="X785" s="309"/>
      <c r="Y785" s="309"/>
      <c r="Z785" s="309"/>
      <c r="AA785" s="309"/>
      <c r="AB785" s="309"/>
      <c r="AC785" s="309"/>
    </row>
    <row r="786" spans="1:29" ht="12.75" customHeight="1">
      <c r="A786" s="309"/>
      <c r="B786" s="309"/>
      <c r="C786" s="309"/>
      <c r="D786" s="309"/>
      <c r="E786" s="309"/>
      <c r="F786" s="309"/>
      <c r="G786" s="309"/>
      <c r="H786" s="309"/>
      <c r="I786" s="309"/>
      <c r="J786" s="309"/>
      <c r="K786" s="310"/>
      <c r="L786" s="309"/>
      <c r="M786" s="309"/>
      <c r="N786" s="309"/>
      <c r="O786" s="309"/>
      <c r="P786" s="309"/>
      <c r="Q786" s="309"/>
      <c r="R786" s="309"/>
      <c r="S786" s="309"/>
      <c r="T786" s="309"/>
      <c r="U786" s="309"/>
      <c r="V786" s="309"/>
      <c r="W786" s="309"/>
      <c r="X786" s="309"/>
      <c r="Y786" s="309"/>
      <c r="Z786" s="309"/>
      <c r="AA786" s="309"/>
      <c r="AB786" s="309"/>
      <c r="AC786" s="309"/>
    </row>
    <row r="787" spans="1:29" ht="12.75" customHeight="1">
      <c r="A787" s="309"/>
      <c r="B787" s="309"/>
      <c r="C787" s="309"/>
      <c r="D787" s="309"/>
      <c r="E787" s="309"/>
      <c r="F787" s="309"/>
      <c r="G787" s="309"/>
      <c r="H787" s="309"/>
      <c r="I787" s="309"/>
      <c r="J787" s="309"/>
      <c r="K787" s="310"/>
      <c r="L787" s="309"/>
      <c r="M787" s="309"/>
      <c r="N787" s="309"/>
      <c r="O787" s="309"/>
      <c r="P787" s="309"/>
      <c r="Q787" s="309"/>
      <c r="R787" s="309"/>
      <c r="S787" s="309"/>
      <c r="T787" s="309"/>
      <c r="U787" s="309"/>
      <c r="V787" s="309"/>
      <c r="W787" s="309"/>
      <c r="X787" s="309"/>
      <c r="Y787" s="309"/>
      <c r="Z787" s="309"/>
      <c r="AA787" s="309"/>
      <c r="AB787" s="309"/>
      <c r="AC787" s="309"/>
    </row>
    <row r="788" spans="1:29" ht="12.75" customHeight="1">
      <c r="A788" s="309"/>
      <c r="B788" s="309"/>
      <c r="C788" s="309"/>
      <c r="D788" s="309"/>
      <c r="E788" s="309"/>
      <c r="F788" s="309"/>
      <c r="G788" s="309"/>
      <c r="H788" s="309"/>
      <c r="I788" s="309"/>
      <c r="J788" s="309"/>
      <c r="K788" s="310"/>
      <c r="L788" s="309"/>
      <c r="M788" s="309"/>
      <c r="N788" s="309"/>
      <c r="O788" s="309"/>
      <c r="P788" s="309"/>
      <c r="Q788" s="309"/>
      <c r="R788" s="309"/>
      <c r="S788" s="309"/>
      <c r="T788" s="309"/>
      <c r="U788" s="309"/>
      <c r="V788" s="309"/>
      <c r="W788" s="309"/>
      <c r="X788" s="309"/>
      <c r="Y788" s="309"/>
      <c r="Z788" s="309"/>
      <c r="AA788" s="309"/>
      <c r="AB788" s="309"/>
      <c r="AC788" s="309"/>
    </row>
    <row r="789" spans="1:29" ht="12.75" customHeight="1">
      <c r="A789" s="309"/>
      <c r="B789" s="309"/>
      <c r="C789" s="309"/>
      <c r="D789" s="309"/>
      <c r="E789" s="309"/>
      <c r="F789" s="309"/>
      <c r="G789" s="309"/>
      <c r="H789" s="309"/>
      <c r="I789" s="309"/>
      <c r="J789" s="309"/>
      <c r="K789" s="310"/>
      <c r="L789" s="309"/>
      <c r="M789" s="309"/>
      <c r="N789" s="309"/>
      <c r="O789" s="309"/>
      <c r="P789" s="309"/>
      <c r="Q789" s="309"/>
      <c r="R789" s="309"/>
      <c r="S789" s="309"/>
      <c r="T789" s="309"/>
      <c r="U789" s="309"/>
      <c r="V789" s="309"/>
      <c r="W789" s="309"/>
      <c r="X789" s="309"/>
      <c r="Y789" s="309"/>
      <c r="Z789" s="309"/>
      <c r="AA789" s="309"/>
      <c r="AB789" s="309"/>
      <c r="AC789" s="309"/>
    </row>
    <row r="790" spans="1:29" ht="12.75" customHeight="1">
      <c r="A790" s="309"/>
      <c r="B790" s="309"/>
      <c r="C790" s="309"/>
      <c r="D790" s="309"/>
      <c r="E790" s="309"/>
      <c r="F790" s="309"/>
      <c r="G790" s="309"/>
      <c r="H790" s="309"/>
      <c r="I790" s="309"/>
      <c r="J790" s="309"/>
      <c r="K790" s="310"/>
      <c r="L790" s="309"/>
      <c r="M790" s="309"/>
      <c r="N790" s="309"/>
      <c r="O790" s="309"/>
      <c r="P790" s="309"/>
      <c r="Q790" s="309"/>
      <c r="R790" s="309"/>
      <c r="S790" s="309"/>
      <c r="T790" s="309"/>
      <c r="U790" s="309"/>
      <c r="V790" s="309"/>
      <c r="W790" s="309"/>
      <c r="X790" s="309"/>
      <c r="Y790" s="309"/>
      <c r="Z790" s="309"/>
      <c r="AA790" s="309"/>
      <c r="AB790" s="309"/>
      <c r="AC790" s="309"/>
    </row>
    <row r="791" spans="1:29" ht="12.75" customHeight="1">
      <c r="A791" s="309"/>
      <c r="B791" s="309"/>
      <c r="C791" s="309"/>
      <c r="D791" s="309"/>
      <c r="E791" s="309"/>
      <c r="F791" s="309"/>
      <c r="G791" s="309"/>
      <c r="H791" s="309"/>
      <c r="I791" s="309"/>
      <c r="J791" s="309"/>
      <c r="K791" s="310"/>
      <c r="L791" s="309"/>
      <c r="M791" s="309"/>
      <c r="N791" s="309"/>
      <c r="O791" s="309"/>
      <c r="P791" s="309"/>
      <c r="Q791" s="309"/>
      <c r="R791" s="309"/>
      <c r="S791" s="309"/>
      <c r="T791" s="309"/>
      <c r="U791" s="309"/>
      <c r="V791" s="309"/>
      <c r="W791" s="309"/>
      <c r="X791" s="309"/>
      <c r="Y791" s="309"/>
      <c r="Z791" s="309"/>
      <c r="AA791" s="309"/>
      <c r="AB791" s="309"/>
      <c r="AC791" s="309"/>
    </row>
    <row r="792" spans="1:29" ht="12.75" customHeight="1">
      <c r="A792" s="309"/>
      <c r="B792" s="309"/>
      <c r="C792" s="309"/>
      <c r="D792" s="309"/>
      <c r="E792" s="309"/>
      <c r="F792" s="309"/>
      <c r="G792" s="309"/>
      <c r="H792" s="309"/>
      <c r="I792" s="309"/>
      <c r="J792" s="309"/>
      <c r="K792" s="310"/>
      <c r="L792" s="309"/>
      <c r="M792" s="309"/>
      <c r="N792" s="309"/>
      <c r="O792" s="309"/>
      <c r="P792" s="309"/>
      <c r="Q792" s="309"/>
      <c r="R792" s="309"/>
      <c r="S792" s="309"/>
      <c r="T792" s="309"/>
      <c r="U792" s="309"/>
      <c r="V792" s="309"/>
      <c r="W792" s="309"/>
      <c r="X792" s="309"/>
      <c r="Y792" s="309"/>
      <c r="Z792" s="309"/>
      <c r="AA792" s="309"/>
      <c r="AB792" s="309"/>
      <c r="AC792" s="309"/>
    </row>
    <row r="793" spans="1:29" ht="12.75" customHeight="1">
      <c r="A793" s="309"/>
      <c r="B793" s="309"/>
      <c r="C793" s="309"/>
      <c r="D793" s="309"/>
      <c r="E793" s="309"/>
      <c r="F793" s="309"/>
      <c r="G793" s="309"/>
      <c r="H793" s="309"/>
      <c r="I793" s="309"/>
      <c r="J793" s="309"/>
      <c r="K793" s="310"/>
      <c r="L793" s="309"/>
      <c r="M793" s="309"/>
      <c r="N793" s="309"/>
      <c r="O793" s="309"/>
      <c r="P793" s="309"/>
      <c r="Q793" s="309"/>
      <c r="R793" s="309"/>
      <c r="S793" s="309"/>
      <c r="T793" s="309"/>
      <c r="U793" s="309"/>
      <c r="V793" s="309"/>
      <c r="W793" s="309"/>
      <c r="X793" s="309"/>
      <c r="Y793" s="309"/>
      <c r="Z793" s="309"/>
      <c r="AA793" s="309"/>
      <c r="AB793" s="309"/>
      <c r="AC793" s="309"/>
    </row>
    <row r="794" spans="1:29" ht="12.75" customHeight="1">
      <c r="A794" s="309"/>
      <c r="B794" s="309"/>
      <c r="C794" s="309"/>
      <c r="D794" s="309"/>
      <c r="E794" s="309"/>
      <c r="F794" s="309"/>
      <c r="G794" s="309"/>
      <c r="H794" s="309"/>
      <c r="I794" s="309"/>
      <c r="J794" s="309"/>
      <c r="K794" s="310"/>
      <c r="L794" s="309"/>
      <c r="M794" s="309"/>
      <c r="N794" s="309"/>
      <c r="O794" s="309"/>
      <c r="P794" s="309"/>
      <c r="Q794" s="309"/>
      <c r="R794" s="309"/>
      <c r="S794" s="309"/>
      <c r="T794" s="309"/>
      <c r="U794" s="309"/>
      <c r="V794" s="309"/>
      <c r="W794" s="309"/>
      <c r="X794" s="309"/>
      <c r="Y794" s="309"/>
      <c r="Z794" s="309"/>
      <c r="AA794" s="309"/>
      <c r="AB794" s="309"/>
      <c r="AC794" s="309"/>
    </row>
    <row r="795" spans="1:29" ht="12.75" customHeight="1">
      <c r="A795" s="309"/>
      <c r="B795" s="309"/>
      <c r="C795" s="309"/>
      <c r="D795" s="309"/>
      <c r="E795" s="309"/>
      <c r="F795" s="309"/>
      <c r="G795" s="309"/>
      <c r="H795" s="309"/>
      <c r="I795" s="309"/>
      <c r="J795" s="309"/>
      <c r="K795" s="310"/>
      <c r="L795" s="309"/>
      <c r="M795" s="309"/>
      <c r="N795" s="309"/>
      <c r="O795" s="309"/>
      <c r="P795" s="309"/>
      <c r="Q795" s="309"/>
      <c r="R795" s="309"/>
      <c r="S795" s="309"/>
      <c r="T795" s="309"/>
      <c r="U795" s="309"/>
      <c r="V795" s="309"/>
      <c r="W795" s="309"/>
      <c r="X795" s="309"/>
      <c r="Y795" s="309"/>
      <c r="Z795" s="309"/>
      <c r="AA795" s="309"/>
      <c r="AB795" s="309"/>
      <c r="AC795" s="309"/>
    </row>
    <row r="796" spans="1:29" ht="12.75" customHeight="1">
      <c r="A796" s="309"/>
      <c r="B796" s="309"/>
      <c r="C796" s="309"/>
      <c r="D796" s="309"/>
      <c r="E796" s="309"/>
      <c r="F796" s="309"/>
      <c r="G796" s="309"/>
      <c r="H796" s="309"/>
      <c r="I796" s="309"/>
      <c r="J796" s="309"/>
      <c r="K796" s="310"/>
      <c r="L796" s="309"/>
      <c r="M796" s="309"/>
      <c r="N796" s="309"/>
      <c r="O796" s="309"/>
      <c r="P796" s="309"/>
      <c r="Q796" s="309"/>
      <c r="R796" s="309"/>
      <c r="S796" s="309"/>
      <c r="T796" s="309"/>
      <c r="U796" s="309"/>
      <c r="V796" s="309"/>
      <c r="W796" s="309"/>
      <c r="X796" s="309"/>
      <c r="Y796" s="309"/>
      <c r="Z796" s="309"/>
      <c r="AA796" s="309"/>
      <c r="AB796" s="309"/>
      <c r="AC796" s="309"/>
    </row>
    <row r="797" spans="1:29" ht="12.75" customHeight="1">
      <c r="A797" s="309"/>
      <c r="B797" s="309"/>
      <c r="C797" s="309"/>
      <c r="D797" s="309"/>
      <c r="E797" s="309"/>
      <c r="F797" s="309"/>
      <c r="G797" s="309"/>
      <c r="H797" s="309"/>
      <c r="I797" s="309"/>
      <c r="J797" s="309"/>
      <c r="K797" s="310"/>
      <c r="L797" s="309"/>
      <c r="M797" s="309"/>
      <c r="N797" s="309"/>
      <c r="O797" s="309"/>
      <c r="P797" s="309"/>
      <c r="Q797" s="309"/>
      <c r="R797" s="309"/>
      <c r="S797" s="309"/>
      <c r="T797" s="309"/>
      <c r="U797" s="309"/>
      <c r="V797" s="309"/>
      <c r="W797" s="309"/>
      <c r="X797" s="309"/>
      <c r="Y797" s="309"/>
      <c r="Z797" s="309"/>
      <c r="AA797" s="309"/>
      <c r="AB797" s="309"/>
      <c r="AC797" s="309"/>
    </row>
    <row r="798" spans="1:29" ht="12.75" customHeight="1">
      <c r="A798" s="309"/>
      <c r="B798" s="309"/>
      <c r="C798" s="309"/>
      <c r="D798" s="309"/>
      <c r="E798" s="309"/>
      <c r="F798" s="309"/>
      <c r="G798" s="309"/>
      <c r="H798" s="309"/>
      <c r="I798" s="309"/>
      <c r="J798" s="309"/>
      <c r="K798" s="310"/>
      <c r="L798" s="309"/>
      <c r="M798" s="309"/>
      <c r="N798" s="309"/>
      <c r="O798" s="309"/>
      <c r="P798" s="309"/>
      <c r="Q798" s="309"/>
      <c r="R798" s="309"/>
      <c r="S798" s="309"/>
      <c r="T798" s="309"/>
      <c r="U798" s="309"/>
      <c r="V798" s="309"/>
      <c r="W798" s="309"/>
      <c r="X798" s="309"/>
      <c r="Y798" s="309"/>
      <c r="Z798" s="309"/>
      <c r="AA798" s="309"/>
      <c r="AB798" s="309"/>
      <c r="AC798" s="309"/>
    </row>
    <row r="799" spans="1:29" ht="12.75" customHeight="1">
      <c r="A799" s="309"/>
      <c r="B799" s="309"/>
      <c r="C799" s="309"/>
      <c r="D799" s="309"/>
      <c r="E799" s="309"/>
      <c r="F799" s="309"/>
      <c r="G799" s="309"/>
      <c r="H799" s="309"/>
      <c r="I799" s="309"/>
      <c r="J799" s="309"/>
      <c r="K799" s="310"/>
      <c r="L799" s="309"/>
      <c r="M799" s="309"/>
      <c r="N799" s="309"/>
      <c r="O799" s="309"/>
      <c r="P799" s="309"/>
      <c r="Q799" s="309"/>
      <c r="R799" s="309"/>
      <c r="S799" s="309"/>
      <c r="T799" s="309"/>
      <c r="U799" s="309"/>
      <c r="V799" s="309"/>
      <c r="W799" s="309"/>
      <c r="X799" s="309"/>
      <c r="Y799" s="309"/>
      <c r="Z799" s="309"/>
      <c r="AA799" s="309"/>
      <c r="AB799" s="309"/>
      <c r="AC799" s="309"/>
    </row>
    <row r="800" spans="1:29" ht="12.75" customHeight="1">
      <c r="A800" s="309"/>
      <c r="B800" s="309"/>
      <c r="C800" s="309"/>
      <c r="D800" s="309"/>
      <c r="E800" s="309"/>
      <c r="F800" s="309"/>
      <c r="G800" s="309"/>
      <c r="H800" s="309"/>
      <c r="I800" s="309"/>
      <c r="J800" s="309"/>
      <c r="K800" s="310"/>
      <c r="L800" s="309"/>
      <c r="M800" s="309"/>
      <c r="N800" s="309"/>
      <c r="O800" s="309"/>
      <c r="P800" s="309"/>
      <c r="Q800" s="309"/>
      <c r="R800" s="309"/>
      <c r="S800" s="309"/>
      <c r="T800" s="309"/>
      <c r="U800" s="309"/>
      <c r="V800" s="309"/>
      <c r="W800" s="309"/>
      <c r="X800" s="309"/>
      <c r="Y800" s="309"/>
      <c r="Z800" s="309"/>
      <c r="AA800" s="309"/>
      <c r="AB800" s="309"/>
      <c r="AC800" s="309"/>
    </row>
    <row r="801" spans="1:29" ht="12.75" customHeight="1">
      <c r="A801" s="309"/>
      <c r="B801" s="309"/>
      <c r="C801" s="309"/>
      <c r="D801" s="309"/>
      <c r="E801" s="309"/>
      <c r="F801" s="309"/>
      <c r="G801" s="309"/>
      <c r="H801" s="309"/>
      <c r="I801" s="309"/>
      <c r="J801" s="309"/>
      <c r="K801" s="310"/>
      <c r="L801" s="309"/>
      <c r="M801" s="309"/>
      <c r="N801" s="309"/>
      <c r="O801" s="309"/>
      <c r="P801" s="309"/>
      <c r="Q801" s="309"/>
      <c r="R801" s="309"/>
      <c r="S801" s="309"/>
      <c r="T801" s="309"/>
      <c r="U801" s="309"/>
      <c r="V801" s="309"/>
      <c r="W801" s="309"/>
      <c r="X801" s="309"/>
      <c r="Y801" s="309"/>
      <c r="Z801" s="309"/>
      <c r="AA801" s="309"/>
      <c r="AB801" s="309"/>
      <c r="AC801" s="309"/>
    </row>
    <row r="802" spans="1:29" ht="12.75" customHeight="1">
      <c r="A802" s="309"/>
      <c r="B802" s="309"/>
      <c r="C802" s="309"/>
      <c r="D802" s="309"/>
      <c r="E802" s="309"/>
      <c r="F802" s="309"/>
      <c r="G802" s="309"/>
      <c r="H802" s="309"/>
      <c r="I802" s="309"/>
      <c r="J802" s="309"/>
      <c r="K802" s="310"/>
      <c r="L802" s="309"/>
      <c r="M802" s="309"/>
      <c r="N802" s="309"/>
      <c r="O802" s="309"/>
      <c r="P802" s="309"/>
      <c r="Q802" s="309"/>
      <c r="R802" s="309"/>
      <c r="S802" s="309"/>
      <c r="T802" s="309"/>
      <c r="U802" s="309"/>
      <c r="V802" s="309"/>
      <c r="W802" s="309"/>
      <c r="X802" s="309"/>
      <c r="Y802" s="309"/>
      <c r="Z802" s="309"/>
      <c r="AA802" s="309"/>
      <c r="AB802" s="309"/>
      <c r="AC802" s="309"/>
    </row>
    <row r="803" spans="1:29" ht="12.75" customHeight="1">
      <c r="A803" s="309"/>
      <c r="B803" s="309"/>
      <c r="C803" s="309"/>
      <c r="D803" s="309"/>
      <c r="E803" s="309"/>
      <c r="F803" s="309"/>
      <c r="G803" s="309"/>
      <c r="H803" s="309"/>
      <c r="I803" s="309"/>
      <c r="J803" s="309"/>
      <c r="K803" s="310"/>
      <c r="L803" s="309"/>
      <c r="M803" s="309"/>
      <c r="N803" s="309"/>
      <c r="O803" s="309"/>
      <c r="P803" s="309"/>
      <c r="Q803" s="309"/>
      <c r="R803" s="309"/>
      <c r="S803" s="309"/>
      <c r="T803" s="309"/>
      <c r="U803" s="309"/>
      <c r="V803" s="309"/>
      <c r="W803" s="309"/>
      <c r="X803" s="309"/>
      <c r="Y803" s="309"/>
      <c r="Z803" s="309"/>
      <c r="AA803" s="309"/>
      <c r="AB803" s="309"/>
      <c r="AC803" s="309"/>
    </row>
    <row r="804" spans="1:29" ht="12.75" customHeight="1">
      <c r="A804" s="309"/>
      <c r="B804" s="309"/>
      <c r="C804" s="309"/>
      <c r="D804" s="309"/>
      <c r="E804" s="309"/>
      <c r="F804" s="309"/>
      <c r="G804" s="309"/>
      <c r="H804" s="309"/>
      <c r="I804" s="309"/>
      <c r="J804" s="309"/>
      <c r="K804" s="310"/>
      <c r="L804" s="309"/>
      <c r="M804" s="309"/>
      <c r="N804" s="309"/>
      <c r="O804" s="309"/>
      <c r="P804" s="309"/>
      <c r="Q804" s="309"/>
      <c r="R804" s="309"/>
      <c r="S804" s="309"/>
      <c r="T804" s="309"/>
      <c r="U804" s="309"/>
      <c r="V804" s="309"/>
      <c r="W804" s="309"/>
      <c r="X804" s="309"/>
      <c r="Y804" s="309"/>
      <c r="Z804" s="309"/>
      <c r="AA804" s="309"/>
      <c r="AB804" s="309"/>
      <c r="AC804" s="309"/>
    </row>
    <row r="805" spans="1:29" ht="12.75" customHeight="1">
      <c r="A805" s="309"/>
      <c r="B805" s="309"/>
      <c r="C805" s="309"/>
      <c r="D805" s="309"/>
      <c r="E805" s="309"/>
      <c r="F805" s="309"/>
      <c r="G805" s="309"/>
      <c r="H805" s="309"/>
      <c r="I805" s="309"/>
      <c r="J805" s="309"/>
      <c r="K805" s="310"/>
      <c r="L805" s="309"/>
      <c r="M805" s="309"/>
      <c r="N805" s="309"/>
      <c r="O805" s="309"/>
      <c r="P805" s="309"/>
      <c r="Q805" s="309"/>
      <c r="R805" s="309"/>
      <c r="S805" s="309"/>
      <c r="T805" s="309"/>
      <c r="U805" s="309"/>
      <c r="V805" s="309"/>
      <c r="W805" s="309"/>
      <c r="X805" s="309"/>
      <c r="Y805" s="309"/>
      <c r="Z805" s="309"/>
      <c r="AA805" s="309"/>
      <c r="AB805" s="309"/>
      <c r="AC805" s="309"/>
    </row>
    <row r="806" spans="1:29" ht="12.75" customHeight="1">
      <c r="A806" s="309"/>
      <c r="B806" s="309"/>
      <c r="C806" s="309"/>
      <c r="D806" s="309"/>
      <c r="E806" s="309"/>
      <c r="F806" s="309"/>
      <c r="G806" s="309"/>
      <c r="H806" s="309"/>
      <c r="I806" s="309"/>
      <c r="J806" s="309"/>
      <c r="K806" s="310"/>
      <c r="L806" s="309"/>
      <c r="M806" s="309"/>
      <c r="N806" s="309"/>
      <c r="O806" s="309"/>
      <c r="P806" s="309"/>
      <c r="Q806" s="309"/>
      <c r="R806" s="309"/>
      <c r="S806" s="309"/>
      <c r="T806" s="309"/>
      <c r="U806" s="309"/>
      <c r="V806" s="309"/>
      <c r="W806" s="309"/>
      <c r="X806" s="309"/>
      <c r="Y806" s="309"/>
      <c r="Z806" s="309"/>
      <c r="AA806" s="309"/>
      <c r="AB806" s="309"/>
      <c r="AC806" s="309"/>
    </row>
    <row r="807" spans="1:29" ht="12.75" customHeight="1">
      <c r="A807" s="309"/>
      <c r="B807" s="309"/>
      <c r="C807" s="309"/>
      <c r="D807" s="309"/>
      <c r="E807" s="309"/>
      <c r="F807" s="309"/>
      <c r="G807" s="309"/>
      <c r="H807" s="309"/>
      <c r="I807" s="309"/>
      <c r="J807" s="309"/>
      <c r="K807" s="310"/>
      <c r="L807" s="309"/>
      <c r="M807" s="309"/>
      <c r="N807" s="309"/>
      <c r="O807" s="309"/>
      <c r="P807" s="309"/>
      <c r="Q807" s="309"/>
      <c r="R807" s="309"/>
      <c r="S807" s="309"/>
      <c r="T807" s="309"/>
      <c r="U807" s="309"/>
      <c r="V807" s="309"/>
      <c r="W807" s="309"/>
      <c r="X807" s="309"/>
      <c r="Y807" s="309"/>
      <c r="Z807" s="309"/>
      <c r="AA807" s="309"/>
      <c r="AB807" s="309"/>
      <c r="AC807" s="309"/>
    </row>
    <row r="808" spans="1:29" ht="12.75" customHeight="1">
      <c r="A808" s="309"/>
      <c r="B808" s="309"/>
      <c r="C808" s="309"/>
      <c r="D808" s="309"/>
      <c r="E808" s="309"/>
      <c r="F808" s="309"/>
      <c r="G808" s="309"/>
      <c r="H808" s="309"/>
      <c r="I808" s="309"/>
      <c r="J808" s="309"/>
      <c r="K808" s="310"/>
      <c r="L808" s="309"/>
      <c r="M808" s="309"/>
      <c r="N808" s="309"/>
      <c r="O808" s="309"/>
      <c r="P808" s="309"/>
      <c r="Q808" s="309"/>
      <c r="R808" s="309"/>
      <c r="S808" s="309"/>
      <c r="T808" s="309"/>
      <c r="U808" s="309"/>
      <c r="V808" s="309"/>
      <c r="W808" s="309"/>
      <c r="X808" s="309"/>
      <c r="Y808" s="309"/>
      <c r="Z808" s="309"/>
      <c r="AA808" s="309"/>
      <c r="AB808" s="309"/>
      <c r="AC808" s="309"/>
    </row>
    <row r="809" spans="1:29" ht="12.75" customHeight="1">
      <c r="A809" s="309"/>
      <c r="B809" s="309"/>
      <c r="C809" s="309"/>
      <c r="D809" s="309"/>
      <c r="E809" s="309"/>
      <c r="F809" s="309"/>
      <c r="G809" s="309"/>
      <c r="H809" s="309"/>
      <c r="I809" s="309"/>
      <c r="J809" s="309"/>
      <c r="K809" s="310"/>
      <c r="L809" s="309"/>
      <c r="M809" s="309"/>
      <c r="N809" s="309"/>
      <c r="O809" s="309"/>
      <c r="P809" s="309"/>
      <c r="Q809" s="309"/>
      <c r="R809" s="309"/>
      <c r="S809" s="309"/>
      <c r="T809" s="309"/>
      <c r="U809" s="309"/>
      <c r="V809" s="309"/>
      <c r="W809" s="309"/>
      <c r="X809" s="309"/>
      <c r="Y809" s="309"/>
      <c r="Z809" s="309"/>
      <c r="AA809" s="309"/>
      <c r="AB809" s="309"/>
      <c r="AC809" s="309"/>
    </row>
    <row r="810" spans="1:29" ht="12.75" customHeight="1">
      <c r="A810" s="309"/>
      <c r="B810" s="309"/>
      <c r="C810" s="309"/>
      <c r="D810" s="309"/>
      <c r="E810" s="309"/>
      <c r="F810" s="309"/>
      <c r="G810" s="309"/>
      <c r="H810" s="309"/>
      <c r="I810" s="309"/>
      <c r="J810" s="309"/>
      <c r="K810" s="310"/>
      <c r="L810" s="309"/>
      <c r="M810" s="309"/>
      <c r="N810" s="309"/>
      <c r="O810" s="309"/>
      <c r="P810" s="309"/>
      <c r="Q810" s="309"/>
      <c r="R810" s="309"/>
      <c r="S810" s="309"/>
      <c r="T810" s="309"/>
      <c r="U810" s="309"/>
      <c r="V810" s="309"/>
      <c r="W810" s="309"/>
      <c r="X810" s="309"/>
      <c r="Y810" s="309"/>
      <c r="Z810" s="309"/>
      <c r="AA810" s="309"/>
      <c r="AB810" s="309"/>
      <c r="AC810" s="309"/>
    </row>
    <row r="811" spans="1:29" ht="12.75" customHeight="1">
      <c r="A811" s="309"/>
      <c r="B811" s="309"/>
      <c r="C811" s="309"/>
      <c r="D811" s="309"/>
      <c r="E811" s="309"/>
      <c r="F811" s="309"/>
      <c r="G811" s="309"/>
      <c r="H811" s="309"/>
      <c r="I811" s="309"/>
      <c r="J811" s="309"/>
      <c r="K811" s="310"/>
      <c r="L811" s="309"/>
      <c r="M811" s="309"/>
      <c r="N811" s="309"/>
      <c r="O811" s="309"/>
      <c r="P811" s="309"/>
      <c r="Q811" s="309"/>
      <c r="R811" s="309"/>
      <c r="S811" s="309"/>
      <c r="T811" s="309"/>
      <c r="U811" s="309"/>
      <c r="V811" s="309"/>
      <c r="W811" s="309"/>
      <c r="X811" s="309"/>
      <c r="Y811" s="309"/>
      <c r="Z811" s="309"/>
      <c r="AA811" s="309"/>
      <c r="AB811" s="309"/>
      <c r="AC811" s="309"/>
    </row>
    <row r="812" spans="1:29" ht="12.75" customHeight="1">
      <c r="A812" s="309"/>
      <c r="B812" s="309"/>
      <c r="C812" s="309"/>
      <c r="D812" s="309"/>
      <c r="E812" s="309"/>
      <c r="F812" s="309"/>
      <c r="G812" s="309"/>
      <c r="H812" s="309"/>
      <c r="I812" s="309"/>
      <c r="J812" s="309"/>
      <c r="K812" s="310"/>
      <c r="L812" s="309"/>
      <c r="M812" s="309"/>
      <c r="N812" s="309"/>
      <c r="O812" s="309"/>
      <c r="P812" s="309"/>
      <c r="Q812" s="309"/>
      <c r="R812" s="309"/>
      <c r="S812" s="309"/>
      <c r="T812" s="309"/>
      <c r="U812" s="309"/>
      <c r="V812" s="309"/>
      <c r="W812" s="309"/>
      <c r="X812" s="309"/>
      <c r="Y812" s="309"/>
      <c r="Z812" s="309"/>
      <c r="AA812" s="309"/>
      <c r="AB812" s="309"/>
      <c r="AC812" s="309"/>
    </row>
    <row r="813" spans="1:29" ht="12.75" customHeight="1">
      <c r="A813" s="309"/>
      <c r="B813" s="309"/>
      <c r="C813" s="309"/>
      <c r="D813" s="309"/>
      <c r="E813" s="309"/>
      <c r="F813" s="309"/>
      <c r="G813" s="309"/>
      <c r="H813" s="309"/>
      <c r="I813" s="309"/>
      <c r="J813" s="309"/>
      <c r="K813" s="310"/>
      <c r="L813" s="309"/>
      <c r="M813" s="309"/>
      <c r="N813" s="309"/>
      <c r="O813" s="309"/>
      <c r="P813" s="309"/>
      <c r="Q813" s="309"/>
      <c r="R813" s="309"/>
      <c r="S813" s="309"/>
      <c r="T813" s="309"/>
      <c r="U813" s="309"/>
      <c r="V813" s="309"/>
      <c r="W813" s="309"/>
      <c r="X813" s="309"/>
      <c r="Y813" s="309"/>
      <c r="Z813" s="309"/>
      <c r="AA813" s="309"/>
      <c r="AB813" s="309"/>
      <c r="AC813" s="309"/>
    </row>
    <row r="814" spans="1:29" ht="12.75" customHeight="1">
      <c r="A814" s="309"/>
      <c r="B814" s="309"/>
      <c r="C814" s="309"/>
      <c r="D814" s="309"/>
      <c r="E814" s="309"/>
      <c r="F814" s="309"/>
      <c r="G814" s="309"/>
      <c r="H814" s="309"/>
      <c r="I814" s="309"/>
      <c r="J814" s="309"/>
      <c r="K814" s="310"/>
      <c r="L814" s="309"/>
      <c r="M814" s="309"/>
      <c r="N814" s="309"/>
      <c r="O814" s="309"/>
      <c r="P814" s="309"/>
      <c r="Q814" s="309"/>
      <c r="R814" s="309"/>
      <c r="S814" s="309"/>
      <c r="T814" s="309"/>
      <c r="U814" s="309"/>
      <c r="V814" s="309"/>
      <c r="W814" s="309"/>
      <c r="X814" s="309"/>
      <c r="Y814" s="309"/>
      <c r="Z814" s="309"/>
      <c r="AA814" s="309"/>
      <c r="AB814" s="309"/>
      <c r="AC814" s="309"/>
    </row>
    <row r="815" spans="1:29" ht="12.75" customHeight="1">
      <c r="A815" s="309"/>
      <c r="B815" s="309"/>
      <c r="C815" s="309"/>
      <c r="D815" s="309"/>
      <c r="E815" s="309"/>
      <c r="F815" s="309"/>
      <c r="G815" s="309"/>
      <c r="H815" s="309"/>
      <c r="I815" s="309"/>
      <c r="J815" s="309"/>
      <c r="K815" s="310"/>
      <c r="L815" s="309"/>
      <c r="M815" s="309"/>
      <c r="N815" s="309"/>
      <c r="O815" s="309"/>
      <c r="P815" s="309"/>
      <c r="Q815" s="309"/>
      <c r="R815" s="309"/>
      <c r="S815" s="309"/>
      <c r="T815" s="309"/>
      <c r="U815" s="309"/>
      <c r="V815" s="309"/>
      <c r="W815" s="309"/>
      <c r="X815" s="309"/>
      <c r="Y815" s="309"/>
      <c r="Z815" s="309"/>
      <c r="AA815" s="309"/>
      <c r="AB815" s="309"/>
      <c r="AC815" s="309"/>
    </row>
    <row r="816" spans="1:29" ht="12.75" customHeight="1">
      <c r="A816" s="309"/>
      <c r="B816" s="309"/>
      <c r="C816" s="309"/>
      <c r="D816" s="309"/>
      <c r="E816" s="309"/>
      <c r="F816" s="309"/>
      <c r="G816" s="309"/>
      <c r="H816" s="309"/>
      <c r="I816" s="309"/>
      <c r="J816" s="309"/>
      <c r="K816" s="310"/>
      <c r="L816" s="309"/>
      <c r="M816" s="309"/>
      <c r="N816" s="309"/>
      <c r="O816" s="309"/>
      <c r="P816" s="309"/>
      <c r="Q816" s="309"/>
      <c r="R816" s="309"/>
      <c r="S816" s="309"/>
      <c r="T816" s="309"/>
      <c r="U816" s="309"/>
      <c r="V816" s="309"/>
      <c r="W816" s="309"/>
      <c r="X816" s="309"/>
      <c r="Y816" s="309"/>
      <c r="Z816" s="309"/>
      <c r="AA816" s="309"/>
      <c r="AB816" s="309"/>
      <c r="AC816" s="309"/>
    </row>
    <row r="817" spans="1:29" ht="12.75" customHeight="1">
      <c r="A817" s="309"/>
      <c r="B817" s="309"/>
      <c r="C817" s="309"/>
      <c r="D817" s="309"/>
      <c r="E817" s="309"/>
      <c r="F817" s="309"/>
      <c r="G817" s="309"/>
      <c r="H817" s="309"/>
      <c r="I817" s="309"/>
      <c r="J817" s="309"/>
      <c r="K817" s="310"/>
      <c r="L817" s="309"/>
      <c r="M817" s="309"/>
      <c r="N817" s="309"/>
      <c r="O817" s="309"/>
      <c r="P817" s="309"/>
      <c r="Q817" s="309"/>
      <c r="R817" s="309"/>
      <c r="S817" s="309"/>
      <c r="T817" s="309"/>
      <c r="U817" s="309"/>
      <c r="V817" s="309"/>
      <c r="W817" s="309"/>
      <c r="X817" s="309"/>
      <c r="Y817" s="309"/>
      <c r="Z817" s="309"/>
      <c r="AA817" s="309"/>
      <c r="AB817" s="309"/>
      <c r="AC817" s="309"/>
    </row>
    <row r="818" spans="1:29" ht="12.75" customHeight="1">
      <c r="A818" s="309"/>
      <c r="B818" s="309"/>
      <c r="C818" s="309"/>
      <c r="D818" s="309"/>
      <c r="E818" s="309"/>
      <c r="F818" s="309"/>
      <c r="G818" s="309"/>
      <c r="H818" s="309"/>
      <c r="I818" s="309"/>
      <c r="J818" s="309"/>
      <c r="K818" s="310"/>
      <c r="L818" s="309"/>
      <c r="M818" s="309"/>
      <c r="N818" s="309"/>
      <c r="O818" s="309"/>
      <c r="P818" s="309"/>
      <c r="Q818" s="309"/>
      <c r="R818" s="309"/>
      <c r="S818" s="309"/>
      <c r="T818" s="309"/>
      <c r="U818" s="309"/>
      <c r="V818" s="309"/>
      <c r="W818" s="309"/>
      <c r="X818" s="309"/>
      <c r="Y818" s="309"/>
      <c r="Z818" s="309"/>
      <c r="AA818" s="309"/>
      <c r="AB818" s="309"/>
      <c r="AC818" s="309"/>
    </row>
    <row r="819" spans="1:29" ht="12.75" customHeight="1">
      <c r="A819" s="309"/>
      <c r="B819" s="309"/>
      <c r="C819" s="309"/>
      <c r="D819" s="309"/>
      <c r="E819" s="309"/>
      <c r="F819" s="309"/>
      <c r="G819" s="309"/>
      <c r="H819" s="309"/>
      <c r="I819" s="309"/>
      <c r="J819" s="309"/>
      <c r="K819" s="310"/>
      <c r="L819" s="309"/>
      <c r="M819" s="309"/>
      <c r="N819" s="309"/>
      <c r="O819" s="309"/>
      <c r="P819" s="309"/>
      <c r="Q819" s="309"/>
      <c r="R819" s="309"/>
      <c r="S819" s="309"/>
      <c r="T819" s="309"/>
      <c r="U819" s="309"/>
      <c r="V819" s="309"/>
      <c r="W819" s="309"/>
      <c r="X819" s="309"/>
      <c r="Y819" s="309"/>
      <c r="Z819" s="309"/>
      <c r="AA819" s="309"/>
      <c r="AB819" s="309"/>
      <c r="AC819" s="309"/>
    </row>
    <row r="820" spans="1:29" ht="12.75" customHeight="1">
      <c r="A820" s="309"/>
      <c r="B820" s="309"/>
      <c r="C820" s="309"/>
      <c r="D820" s="309"/>
      <c r="E820" s="309"/>
      <c r="F820" s="309"/>
      <c r="G820" s="309"/>
      <c r="H820" s="309"/>
      <c r="I820" s="309"/>
      <c r="J820" s="309"/>
      <c r="K820" s="310"/>
      <c r="L820" s="309"/>
      <c r="M820" s="309"/>
      <c r="N820" s="309"/>
      <c r="O820" s="309"/>
      <c r="P820" s="309"/>
      <c r="Q820" s="309"/>
      <c r="R820" s="309"/>
      <c r="S820" s="309"/>
      <c r="T820" s="309"/>
      <c r="U820" s="309"/>
      <c r="V820" s="309"/>
      <c r="W820" s="309"/>
      <c r="X820" s="309"/>
      <c r="Y820" s="309"/>
      <c r="Z820" s="309"/>
      <c r="AA820" s="309"/>
      <c r="AB820" s="309"/>
      <c r="AC820" s="309"/>
    </row>
    <row r="821" spans="1:29" ht="12.75" customHeight="1">
      <c r="A821" s="309"/>
      <c r="B821" s="309"/>
      <c r="C821" s="309"/>
      <c r="D821" s="309"/>
      <c r="E821" s="309"/>
      <c r="F821" s="309"/>
      <c r="G821" s="309"/>
      <c r="H821" s="309"/>
      <c r="I821" s="309"/>
      <c r="J821" s="309"/>
      <c r="K821" s="310"/>
      <c r="L821" s="309"/>
      <c r="M821" s="309"/>
      <c r="N821" s="309"/>
      <c r="O821" s="309"/>
      <c r="P821" s="309"/>
      <c r="Q821" s="309"/>
      <c r="R821" s="309"/>
      <c r="S821" s="309"/>
      <c r="T821" s="309"/>
      <c r="U821" s="309"/>
      <c r="V821" s="309"/>
      <c r="W821" s="309"/>
      <c r="X821" s="309"/>
      <c r="Y821" s="309"/>
      <c r="Z821" s="309"/>
      <c r="AA821" s="309"/>
      <c r="AB821" s="309"/>
      <c r="AC821" s="309"/>
    </row>
    <row r="822" spans="1:29" ht="12.75" customHeight="1">
      <c r="A822" s="309"/>
      <c r="B822" s="309"/>
      <c r="C822" s="309"/>
      <c r="D822" s="309"/>
      <c r="E822" s="309"/>
      <c r="F822" s="309"/>
      <c r="G822" s="309"/>
      <c r="H822" s="309"/>
      <c r="I822" s="309"/>
      <c r="J822" s="309"/>
      <c r="K822" s="310"/>
      <c r="L822" s="309"/>
      <c r="M822" s="309"/>
      <c r="N822" s="309"/>
      <c r="O822" s="309"/>
      <c r="P822" s="309"/>
      <c r="Q822" s="309"/>
      <c r="R822" s="309"/>
      <c r="S822" s="309"/>
      <c r="T822" s="309"/>
      <c r="U822" s="309"/>
      <c r="V822" s="309"/>
      <c r="W822" s="309"/>
      <c r="X822" s="309"/>
      <c r="Y822" s="309"/>
      <c r="Z822" s="309"/>
      <c r="AA822" s="309"/>
      <c r="AB822" s="309"/>
      <c r="AC822" s="309"/>
    </row>
    <row r="823" spans="1:29" ht="12.75" customHeight="1">
      <c r="A823" s="309"/>
      <c r="B823" s="309"/>
      <c r="C823" s="309"/>
      <c r="D823" s="309"/>
      <c r="E823" s="309"/>
      <c r="F823" s="309"/>
      <c r="G823" s="309"/>
      <c r="H823" s="309"/>
      <c r="I823" s="309"/>
      <c r="J823" s="309"/>
      <c r="K823" s="310"/>
      <c r="L823" s="309"/>
      <c r="M823" s="309"/>
      <c r="N823" s="309"/>
      <c r="O823" s="309"/>
      <c r="P823" s="309"/>
      <c r="Q823" s="309"/>
      <c r="R823" s="309"/>
      <c r="S823" s="309"/>
      <c r="T823" s="309"/>
      <c r="U823" s="309"/>
      <c r="V823" s="309"/>
      <c r="W823" s="309"/>
      <c r="X823" s="309"/>
      <c r="Y823" s="309"/>
      <c r="Z823" s="309"/>
      <c r="AA823" s="309"/>
      <c r="AB823" s="309"/>
      <c r="AC823" s="309"/>
    </row>
    <row r="824" spans="1:29" ht="12.75" customHeight="1">
      <c r="A824" s="309"/>
      <c r="B824" s="309"/>
      <c r="C824" s="309"/>
      <c r="D824" s="309"/>
      <c r="E824" s="309"/>
      <c r="F824" s="309"/>
      <c r="G824" s="309"/>
      <c r="H824" s="309"/>
      <c r="I824" s="309"/>
      <c r="J824" s="309"/>
      <c r="K824" s="310"/>
      <c r="L824" s="309"/>
      <c r="M824" s="309"/>
      <c r="N824" s="309"/>
      <c r="O824" s="309"/>
      <c r="P824" s="309"/>
      <c r="Q824" s="309"/>
      <c r="R824" s="309"/>
      <c r="S824" s="309"/>
      <c r="T824" s="309"/>
      <c r="U824" s="309"/>
      <c r="V824" s="309"/>
      <c r="W824" s="309"/>
      <c r="X824" s="309"/>
      <c r="Y824" s="309"/>
      <c r="Z824" s="309"/>
      <c r="AA824" s="309"/>
      <c r="AB824" s="309"/>
      <c r="AC824" s="309"/>
    </row>
    <row r="825" spans="1:29" ht="12.75" customHeight="1">
      <c r="A825" s="309"/>
      <c r="B825" s="309"/>
      <c r="C825" s="309"/>
      <c r="D825" s="309"/>
      <c r="E825" s="309"/>
      <c r="F825" s="309"/>
      <c r="G825" s="309"/>
      <c r="H825" s="309"/>
      <c r="I825" s="309"/>
      <c r="J825" s="309"/>
      <c r="K825" s="310"/>
      <c r="L825" s="309"/>
      <c r="M825" s="309"/>
      <c r="N825" s="309"/>
      <c r="O825" s="309"/>
      <c r="P825" s="309"/>
      <c r="Q825" s="309"/>
      <c r="R825" s="309"/>
      <c r="S825" s="309"/>
      <c r="T825" s="309"/>
      <c r="U825" s="309"/>
      <c r="V825" s="309"/>
      <c r="W825" s="309"/>
      <c r="X825" s="309"/>
      <c r="Y825" s="309"/>
      <c r="Z825" s="309"/>
      <c r="AA825" s="309"/>
      <c r="AB825" s="309"/>
      <c r="AC825" s="309"/>
    </row>
    <row r="826" spans="1:29" ht="12.75" customHeight="1">
      <c r="A826" s="309"/>
      <c r="B826" s="309"/>
      <c r="C826" s="309"/>
      <c r="D826" s="309"/>
      <c r="E826" s="309"/>
      <c r="F826" s="309"/>
      <c r="G826" s="309"/>
      <c r="H826" s="309"/>
      <c r="I826" s="309"/>
      <c r="J826" s="309"/>
      <c r="K826" s="310"/>
      <c r="L826" s="309"/>
      <c r="M826" s="309"/>
      <c r="N826" s="309"/>
      <c r="O826" s="309"/>
      <c r="P826" s="309"/>
      <c r="Q826" s="309"/>
      <c r="R826" s="309"/>
      <c r="S826" s="309"/>
      <c r="T826" s="309"/>
      <c r="U826" s="309"/>
      <c r="V826" s="309"/>
      <c r="W826" s="309"/>
      <c r="X826" s="309"/>
      <c r="Y826" s="309"/>
      <c r="Z826" s="309"/>
      <c r="AA826" s="309"/>
      <c r="AB826" s="309"/>
      <c r="AC826" s="309"/>
    </row>
    <row r="827" spans="1:29" ht="12.75" customHeight="1">
      <c r="A827" s="309"/>
      <c r="B827" s="309"/>
      <c r="C827" s="309"/>
      <c r="D827" s="309"/>
      <c r="E827" s="309"/>
      <c r="F827" s="309"/>
      <c r="G827" s="309"/>
      <c r="H827" s="309"/>
      <c r="I827" s="309"/>
      <c r="J827" s="309"/>
      <c r="K827" s="310"/>
      <c r="L827" s="309"/>
      <c r="M827" s="309"/>
      <c r="N827" s="309"/>
      <c r="O827" s="309"/>
      <c r="P827" s="309"/>
      <c r="Q827" s="309"/>
      <c r="R827" s="309"/>
      <c r="S827" s="309"/>
      <c r="T827" s="309"/>
      <c r="U827" s="309"/>
      <c r="V827" s="309"/>
      <c r="W827" s="309"/>
      <c r="X827" s="309"/>
      <c r="Y827" s="309"/>
      <c r="Z827" s="309"/>
      <c r="AA827" s="309"/>
      <c r="AB827" s="309"/>
      <c r="AC827" s="309"/>
    </row>
    <row r="828" spans="1:29" ht="12.75" customHeight="1">
      <c r="A828" s="309"/>
      <c r="B828" s="309"/>
      <c r="C828" s="309"/>
      <c r="D828" s="309"/>
      <c r="E828" s="309"/>
      <c r="F828" s="309"/>
      <c r="G828" s="309"/>
      <c r="H828" s="309"/>
      <c r="I828" s="309"/>
      <c r="J828" s="309"/>
      <c r="K828" s="310"/>
      <c r="L828" s="309"/>
      <c r="M828" s="309"/>
      <c r="N828" s="309"/>
      <c r="O828" s="309"/>
      <c r="P828" s="309"/>
      <c r="Q828" s="309"/>
      <c r="R828" s="309"/>
      <c r="S828" s="309"/>
      <c r="T828" s="309"/>
      <c r="U828" s="309"/>
      <c r="V828" s="309"/>
      <c r="W828" s="309"/>
      <c r="X828" s="309"/>
      <c r="Y828" s="309"/>
      <c r="Z828" s="309"/>
      <c r="AA828" s="309"/>
      <c r="AB828" s="309"/>
      <c r="AC828" s="309"/>
    </row>
    <row r="829" spans="1:29" ht="12.75" customHeight="1">
      <c r="A829" s="309"/>
      <c r="B829" s="309"/>
      <c r="C829" s="309"/>
      <c r="D829" s="309"/>
      <c r="E829" s="309"/>
      <c r="F829" s="309"/>
      <c r="G829" s="309"/>
      <c r="H829" s="309"/>
      <c r="I829" s="309"/>
      <c r="J829" s="309"/>
      <c r="K829" s="310"/>
      <c r="L829" s="309"/>
      <c r="M829" s="309"/>
      <c r="N829" s="309"/>
      <c r="O829" s="309"/>
      <c r="P829" s="309"/>
      <c r="Q829" s="309"/>
      <c r="R829" s="309"/>
      <c r="S829" s="309"/>
      <c r="T829" s="309"/>
      <c r="U829" s="309"/>
      <c r="V829" s="309"/>
      <c r="W829" s="309"/>
      <c r="X829" s="309"/>
      <c r="Y829" s="309"/>
      <c r="Z829" s="309"/>
      <c r="AA829" s="309"/>
      <c r="AB829" s="309"/>
      <c r="AC829" s="309"/>
    </row>
    <row r="830" spans="1:29" ht="12.75" customHeight="1">
      <c r="A830" s="309"/>
      <c r="B830" s="309"/>
      <c r="C830" s="309"/>
      <c r="D830" s="309"/>
      <c r="E830" s="309"/>
      <c r="F830" s="309"/>
      <c r="G830" s="309"/>
      <c r="H830" s="309"/>
      <c r="I830" s="309"/>
      <c r="J830" s="309"/>
      <c r="K830" s="310"/>
      <c r="L830" s="309"/>
      <c r="M830" s="309"/>
      <c r="N830" s="309"/>
      <c r="O830" s="309"/>
      <c r="P830" s="309"/>
      <c r="Q830" s="309"/>
      <c r="R830" s="309"/>
      <c r="S830" s="309"/>
      <c r="T830" s="309"/>
      <c r="U830" s="309"/>
      <c r="V830" s="309"/>
      <c r="W830" s="309"/>
      <c r="X830" s="309"/>
      <c r="Y830" s="309"/>
      <c r="Z830" s="309"/>
      <c r="AA830" s="309"/>
      <c r="AB830" s="309"/>
      <c r="AC830" s="309"/>
    </row>
    <row r="831" spans="1:29" ht="12.75" customHeight="1">
      <c r="A831" s="309"/>
      <c r="B831" s="309"/>
      <c r="C831" s="309"/>
      <c r="D831" s="309"/>
      <c r="E831" s="309"/>
      <c r="F831" s="309"/>
      <c r="G831" s="309"/>
      <c r="H831" s="309"/>
      <c r="I831" s="309"/>
      <c r="J831" s="309"/>
      <c r="K831" s="310"/>
      <c r="L831" s="309"/>
      <c r="M831" s="309"/>
      <c r="N831" s="309"/>
      <c r="O831" s="309"/>
      <c r="P831" s="309"/>
      <c r="Q831" s="309"/>
      <c r="R831" s="309"/>
      <c r="S831" s="309"/>
      <c r="T831" s="309"/>
      <c r="U831" s="309"/>
      <c r="V831" s="309"/>
      <c r="W831" s="309"/>
      <c r="X831" s="309"/>
      <c r="Y831" s="309"/>
      <c r="Z831" s="309"/>
      <c r="AA831" s="309"/>
      <c r="AB831" s="309"/>
      <c r="AC831" s="309"/>
    </row>
    <row r="832" spans="1:29" ht="12.75" customHeight="1">
      <c r="A832" s="309"/>
      <c r="B832" s="309"/>
      <c r="C832" s="309"/>
      <c r="D832" s="309"/>
      <c r="E832" s="309"/>
      <c r="F832" s="309"/>
      <c r="G832" s="309"/>
      <c r="H832" s="309"/>
      <c r="I832" s="309"/>
      <c r="J832" s="309"/>
      <c r="K832" s="310"/>
      <c r="L832" s="309"/>
      <c r="M832" s="309"/>
      <c r="N832" s="309"/>
      <c r="O832" s="309"/>
      <c r="P832" s="309"/>
      <c r="Q832" s="309"/>
      <c r="R832" s="309"/>
      <c r="S832" s="309"/>
      <c r="T832" s="309"/>
      <c r="U832" s="309"/>
      <c r="V832" s="309"/>
      <c r="W832" s="309"/>
      <c r="X832" s="309"/>
      <c r="Y832" s="309"/>
      <c r="Z832" s="309"/>
      <c r="AA832" s="309"/>
      <c r="AB832" s="309"/>
      <c r="AC832" s="309"/>
    </row>
    <row r="833" spans="1:29" ht="12.75" customHeight="1">
      <c r="A833" s="309"/>
      <c r="B833" s="309"/>
      <c r="C833" s="309"/>
      <c r="D833" s="309"/>
      <c r="E833" s="309"/>
      <c r="F833" s="309"/>
      <c r="G833" s="309"/>
      <c r="H833" s="309"/>
      <c r="I833" s="309"/>
      <c r="J833" s="309"/>
      <c r="K833" s="310"/>
      <c r="L833" s="309"/>
      <c r="M833" s="309"/>
      <c r="N833" s="309"/>
      <c r="O833" s="309"/>
      <c r="P833" s="309"/>
      <c r="Q833" s="309"/>
      <c r="R833" s="309"/>
      <c r="S833" s="309"/>
      <c r="T833" s="309"/>
      <c r="U833" s="309"/>
      <c r="V833" s="309"/>
      <c r="W833" s="309"/>
      <c r="X833" s="309"/>
      <c r="Y833" s="309"/>
      <c r="Z833" s="309"/>
      <c r="AA833" s="309"/>
      <c r="AB833" s="309"/>
      <c r="AC833" s="309"/>
    </row>
    <row r="834" spans="1:29" ht="12.75" customHeight="1">
      <c r="A834" s="309"/>
      <c r="B834" s="309"/>
      <c r="C834" s="309"/>
      <c r="D834" s="309"/>
      <c r="E834" s="309"/>
      <c r="F834" s="309"/>
      <c r="G834" s="309"/>
      <c r="H834" s="309"/>
      <c r="I834" s="309"/>
      <c r="J834" s="309"/>
      <c r="K834" s="310"/>
      <c r="L834" s="309"/>
      <c r="M834" s="309"/>
      <c r="N834" s="309"/>
      <c r="O834" s="309"/>
      <c r="P834" s="309"/>
      <c r="Q834" s="309"/>
      <c r="R834" s="309"/>
      <c r="S834" s="309"/>
      <c r="T834" s="309"/>
      <c r="U834" s="309"/>
      <c r="V834" s="309"/>
      <c r="W834" s="309"/>
      <c r="X834" s="309"/>
      <c r="Y834" s="309"/>
      <c r="Z834" s="309"/>
      <c r="AA834" s="309"/>
      <c r="AB834" s="309"/>
      <c r="AC834" s="309"/>
    </row>
    <row r="835" spans="1:29" ht="12.75" customHeight="1">
      <c r="A835" s="309"/>
      <c r="B835" s="309"/>
      <c r="C835" s="309"/>
      <c r="D835" s="309"/>
      <c r="E835" s="309"/>
      <c r="F835" s="309"/>
      <c r="G835" s="309"/>
      <c r="H835" s="309"/>
      <c r="I835" s="309"/>
      <c r="J835" s="309"/>
      <c r="K835" s="310"/>
      <c r="L835" s="309"/>
      <c r="M835" s="309"/>
      <c r="N835" s="309"/>
      <c r="O835" s="309"/>
      <c r="P835" s="309"/>
      <c r="Q835" s="309"/>
      <c r="R835" s="309"/>
      <c r="S835" s="309"/>
      <c r="T835" s="309"/>
      <c r="U835" s="309"/>
      <c r="V835" s="309"/>
      <c r="W835" s="309"/>
      <c r="X835" s="309"/>
      <c r="Y835" s="309"/>
      <c r="Z835" s="309"/>
      <c r="AA835" s="309"/>
      <c r="AB835" s="309"/>
      <c r="AC835" s="309"/>
    </row>
    <row r="836" spans="1:29" ht="12.75" customHeight="1">
      <c r="A836" s="309"/>
      <c r="B836" s="309"/>
      <c r="C836" s="309"/>
      <c r="D836" s="309"/>
      <c r="E836" s="309"/>
      <c r="F836" s="309"/>
      <c r="G836" s="309"/>
      <c r="H836" s="309"/>
      <c r="I836" s="309"/>
      <c r="J836" s="309"/>
      <c r="K836" s="310"/>
      <c r="L836" s="309"/>
      <c r="M836" s="309"/>
      <c r="N836" s="309"/>
      <c r="O836" s="309"/>
      <c r="P836" s="309"/>
      <c r="Q836" s="309"/>
      <c r="R836" s="309"/>
      <c r="S836" s="309"/>
      <c r="T836" s="309"/>
      <c r="U836" s="309"/>
      <c r="V836" s="309"/>
      <c r="W836" s="309"/>
      <c r="X836" s="309"/>
      <c r="Y836" s="309"/>
      <c r="Z836" s="309"/>
      <c r="AA836" s="309"/>
      <c r="AB836" s="309"/>
      <c r="AC836" s="309"/>
    </row>
    <row r="837" spans="1:29" ht="12.75" customHeight="1">
      <c r="A837" s="309"/>
      <c r="B837" s="309"/>
      <c r="C837" s="309"/>
      <c r="D837" s="309"/>
      <c r="E837" s="309"/>
      <c r="F837" s="309"/>
      <c r="G837" s="309"/>
      <c r="H837" s="309"/>
      <c r="I837" s="309"/>
      <c r="J837" s="309"/>
      <c r="K837" s="310"/>
      <c r="L837" s="309"/>
      <c r="M837" s="309"/>
      <c r="N837" s="309"/>
      <c r="O837" s="309"/>
      <c r="P837" s="309"/>
      <c r="Q837" s="309"/>
      <c r="R837" s="309"/>
      <c r="S837" s="309"/>
      <c r="T837" s="309"/>
      <c r="U837" s="309"/>
      <c r="V837" s="309"/>
      <c r="W837" s="309"/>
      <c r="X837" s="309"/>
      <c r="Y837" s="309"/>
      <c r="Z837" s="309"/>
      <c r="AA837" s="309"/>
      <c r="AB837" s="309"/>
      <c r="AC837" s="309"/>
    </row>
    <row r="838" spans="1:29" ht="12.75" customHeight="1">
      <c r="A838" s="309"/>
      <c r="B838" s="309"/>
      <c r="C838" s="309"/>
      <c r="D838" s="309"/>
      <c r="E838" s="309"/>
      <c r="F838" s="309"/>
      <c r="G838" s="309"/>
      <c r="H838" s="309"/>
      <c r="I838" s="309"/>
      <c r="J838" s="309"/>
      <c r="K838" s="310"/>
      <c r="L838" s="309"/>
      <c r="M838" s="309"/>
      <c r="N838" s="309"/>
      <c r="O838" s="309"/>
      <c r="P838" s="309"/>
      <c r="Q838" s="309"/>
      <c r="R838" s="309"/>
      <c r="S838" s="309"/>
      <c r="T838" s="309"/>
      <c r="U838" s="309"/>
      <c r="V838" s="309"/>
      <c r="W838" s="309"/>
      <c r="X838" s="309"/>
      <c r="Y838" s="309"/>
      <c r="Z838" s="309"/>
      <c r="AA838" s="309"/>
      <c r="AB838" s="309"/>
      <c r="AC838" s="309"/>
    </row>
    <row r="839" spans="1:29" ht="12.75" customHeight="1">
      <c r="A839" s="309"/>
      <c r="B839" s="309"/>
      <c r="C839" s="309"/>
      <c r="D839" s="309"/>
      <c r="E839" s="309"/>
      <c r="F839" s="309"/>
      <c r="G839" s="309"/>
      <c r="H839" s="309"/>
      <c r="I839" s="309"/>
      <c r="J839" s="309"/>
      <c r="K839" s="310"/>
      <c r="L839" s="309"/>
      <c r="M839" s="309"/>
      <c r="N839" s="309"/>
      <c r="O839" s="309"/>
      <c r="P839" s="309"/>
      <c r="Q839" s="309"/>
      <c r="R839" s="309"/>
      <c r="S839" s="309"/>
      <c r="T839" s="309"/>
      <c r="U839" s="309"/>
      <c r="V839" s="309"/>
      <c r="W839" s="309"/>
      <c r="X839" s="309"/>
      <c r="Y839" s="309"/>
      <c r="Z839" s="309"/>
      <c r="AA839" s="309"/>
      <c r="AB839" s="309"/>
      <c r="AC839" s="309"/>
    </row>
    <row r="840" spans="1:29" ht="12.75" customHeight="1">
      <c r="A840" s="309"/>
      <c r="B840" s="309"/>
      <c r="C840" s="309"/>
      <c r="D840" s="309"/>
      <c r="E840" s="309"/>
      <c r="F840" s="309"/>
      <c r="G840" s="309"/>
      <c r="H840" s="309"/>
      <c r="I840" s="309"/>
      <c r="J840" s="309"/>
      <c r="K840" s="310"/>
      <c r="L840" s="309"/>
      <c r="M840" s="309"/>
      <c r="N840" s="309"/>
      <c r="O840" s="309"/>
      <c r="P840" s="309"/>
      <c r="Q840" s="309"/>
      <c r="R840" s="309"/>
      <c r="S840" s="309"/>
      <c r="T840" s="309"/>
      <c r="U840" s="309"/>
      <c r="V840" s="309"/>
      <c r="W840" s="309"/>
      <c r="X840" s="309"/>
      <c r="Y840" s="309"/>
      <c r="Z840" s="309"/>
      <c r="AA840" s="309"/>
      <c r="AB840" s="309"/>
      <c r="AC840" s="309"/>
    </row>
    <row r="841" spans="1:29" ht="12.75" customHeight="1">
      <c r="A841" s="309"/>
      <c r="B841" s="309"/>
      <c r="C841" s="309"/>
      <c r="D841" s="309"/>
      <c r="E841" s="309"/>
      <c r="F841" s="309"/>
      <c r="G841" s="309"/>
      <c r="H841" s="309"/>
      <c r="I841" s="309"/>
      <c r="J841" s="309"/>
      <c r="K841" s="310"/>
      <c r="L841" s="309"/>
      <c r="M841" s="309"/>
      <c r="N841" s="309"/>
      <c r="O841" s="309"/>
      <c r="P841" s="309"/>
      <c r="Q841" s="309"/>
      <c r="R841" s="309"/>
      <c r="S841" s="309"/>
      <c r="T841" s="309"/>
      <c r="U841" s="309"/>
      <c r="V841" s="309"/>
      <c r="W841" s="309"/>
      <c r="X841" s="309"/>
      <c r="Y841" s="309"/>
      <c r="Z841" s="309"/>
      <c r="AA841" s="309"/>
      <c r="AB841" s="309"/>
      <c r="AC841" s="309"/>
    </row>
    <row r="842" spans="1:29" ht="12.75" customHeight="1">
      <c r="A842" s="309"/>
      <c r="B842" s="309"/>
      <c r="C842" s="309"/>
      <c r="D842" s="309"/>
      <c r="E842" s="309"/>
      <c r="F842" s="309"/>
      <c r="G842" s="309"/>
      <c r="H842" s="309"/>
      <c r="I842" s="309"/>
      <c r="J842" s="309"/>
      <c r="K842" s="310"/>
      <c r="L842" s="309"/>
      <c r="M842" s="309"/>
      <c r="N842" s="309"/>
      <c r="O842" s="309"/>
      <c r="P842" s="309"/>
      <c r="Q842" s="309"/>
      <c r="R842" s="309"/>
      <c r="S842" s="309"/>
      <c r="T842" s="309"/>
      <c r="U842" s="309"/>
      <c r="V842" s="309"/>
      <c r="W842" s="309"/>
      <c r="X842" s="309"/>
      <c r="Y842" s="309"/>
      <c r="Z842" s="309"/>
      <c r="AA842" s="309"/>
      <c r="AB842" s="309"/>
      <c r="AC842" s="309"/>
    </row>
    <row r="843" spans="1:29" ht="12.75" customHeight="1">
      <c r="A843" s="309"/>
      <c r="B843" s="309"/>
      <c r="C843" s="309"/>
      <c r="D843" s="309"/>
      <c r="E843" s="309"/>
      <c r="F843" s="309"/>
      <c r="G843" s="309"/>
      <c r="H843" s="309"/>
      <c r="I843" s="309"/>
      <c r="J843" s="309"/>
      <c r="K843" s="310"/>
      <c r="L843" s="309"/>
      <c r="M843" s="309"/>
      <c r="N843" s="309"/>
      <c r="O843" s="309"/>
      <c r="P843" s="309"/>
      <c r="Q843" s="309"/>
      <c r="R843" s="309"/>
      <c r="S843" s="309"/>
      <c r="T843" s="309"/>
      <c r="U843" s="309"/>
      <c r="V843" s="309"/>
      <c r="W843" s="309"/>
      <c r="X843" s="309"/>
      <c r="Y843" s="309"/>
      <c r="Z843" s="309"/>
      <c r="AA843" s="309"/>
      <c r="AB843" s="309"/>
      <c r="AC843" s="309"/>
    </row>
    <row r="844" spans="1:29" ht="12.75" customHeight="1">
      <c r="A844" s="309"/>
      <c r="B844" s="309"/>
      <c r="C844" s="309"/>
      <c r="D844" s="309"/>
      <c r="E844" s="309"/>
      <c r="F844" s="309"/>
      <c r="G844" s="309"/>
      <c r="H844" s="309"/>
      <c r="I844" s="309"/>
      <c r="J844" s="309"/>
      <c r="K844" s="310"/>
      <c r="L844" s="309"/>
      <c r="M844" s="309"/>
      <c r="N844" s="309"/>
      <c r="O844" s="309"/>
      <c r="P844" s="309"/>
      <c r="Q844" s="309"/>
      <c r="R844" s="309"/>
      <c r="S844" s="309"/>
      <c r="T844" s="309"/>
      <c r="U844" s="309"/>
      <c r="V844" s="309"/>
      <c r="W844" s="309"/>
      <c r="X844" s="309"/>
      <c r="Y844" s="309"/>
      <c r="Z844" s="309"/>
      <c r="AA844" s="309"/>
      <c r="AB844" s="309"/>
      <c r="AC844" s="309"/>
    </row>
    <row r="845" spans="1:29" ht="12.75" customHeight="1">
      <c r="A845" s="309"/>
      <c r="B845" s="309"/>
      <c r="C845" s="309"/>
      <c r="D845" s="309"/>
      <c r="E845" s="309"/>
      <c r="F845" s="309"/>
      <c r="G845" s="309"/>
      <c r="H845" s="309"/>
      <c r="I845" s="309"/>
      <c r="J845" s="309"/>
      <c r="K845" s="310"/>
      <c r="L845" s="309"/>
      <c r="M845" s="309"/>
      <c r="N845" s="309"/>
      <c r="O845" s="309"/>
      <c r="P845" s="309"/>
      <c r="Q845" s="309"/>
      <c r="R845" s="309"/>
      <c r="S845" s="309"/>
      <c r="T845" s="309"/>
      <c r="U845" s="309"/>
      <c r="V845" s="309"/>
      <c r="W845" s="309"/>
      <c r="X845" s="309"/>
      <c r="Y845" s="309"/>
      <c r="Z845" s="309"/>
      <c r="AA845" s="309"/>
      <c r="AB845" s="309"/>
      <c r="AC845" s="309"/>
    </row>
    <row r="846" spans="1:29" ht="12.75" customHeight="1">
      <c r="A846" s="309"/>
      <c r="B846" s="309"/>
      <c r="C846" s="309"/>
      <c r="D846" s="309"/>
      <c r="E846" s="309"/>
      <c r="F846" s="309"/>
      <c r="G846" s="309"/>
      <c r="H846" s="309"/>
      <c r="I846" s="309"/>
      <c r="J846" s="309"/>
      <c r="K846" s="310"/>
      <c r="L846" s="309"/>
      <c r="M846" s="309"/>
      <c r="N846" s="309"/>
      <c r="O846" s="309"/>
      <c r="P846" s="309"/>
      <c r="Q846" s="309"/>
      <c r="R846" s="309"/>
      <c r="S846" s="309"/>
      <c r="T846" s="309"/>
      <c r="U846" s="309"/>
      <c r="V846" s="309"/>
      <c r="W846" s="309"/>
      <c r="X846" s="309"/>
      <c r="Y846" s="309"/>
      <c r="Z846" s="309"/>
      <c r="AA846" s="309"/>
      <c r="AB846" s="309"/>
      <c r="AC846" s="309"/>
    </row>
    <row r="847" spans="1:29" ht="12.75" customHeight="1">
      <c r="A847" s="309"/>
      <c r="B847" s="309"/>
      <c r="C847" s="309"/>
      <c r="D847" s="309"/>
      <c r="E847" s="309"/>
      <c r="F847" s="309"/>
      <c r="G847" s="309"/>
      <c r="H847" s="309"/>
      <c r="I847" s="309"/>
      <c r="J847" s="309"/>
      <c r="K847" s="310"/>
      <c r="L847" s="309"/>
      <c r="M847" s="309"/>
      <c r="N847" s="309"/>
      <c r="O847" s="309"/>
      <c r="P847" s="309"/>
      <c r="Q847" s="309"/>
      <c r="R847" s="309"/>
      <c r="S847" s="309"/>
      <c r="T847" s="309"/>
      <c r="U847" s="309"/>
      <c r="V847" s="309"/>
      <c r="W847" s="309"/>
      <c r="X847" s="309"/>
      <c r="Y847" s="309"/>
      <c r="Z847" s="309"/>
      <c r="AA847" s="309"/>
      <c r="AB847" s="309"/>
      <c r="AC847" s="309"/>
    </row>
    <row r="848" spans="1:29" ht="12.75" customHeight="1">
      <c r="A848" s="309"/>
      <c r="B848" s="309"/>
      <c r="C848" s="309"/>
      <c r="D848" s="309"/>
      <c r="E848" s="309"/>
      <c r="F848" s="309"/>
      <c r="G848" s="309"/>
      <c r="H848" s="309"/>
      <c r="I848" s="309"/>
      <c r="J848" s="309"/>
      <c r="K848" s="310"/>
      <c r="L848" s="309"/>
      <c r="M848" s="309"/>
      <c r="N848" s="309"/>
      <c r="O848" s="309"/>
      <c r="P848" s="309"/>
      <c r="Q848" s="309"/>
      <c r="R848" s="309"/>
      <c r="S848" s="309"/>
      <c r="T848" s="309"/>
      <c r="U848" s="309"/>
      <c r="V848" s="309"/>
      <c r="W848" s="309"/>
      <c r="X848" s="309"/>
      <c r="Y848" s="309"/>
      <c r="Z848" s="309"/>
      <c r="AA848" s="309"/>
      <c r="AB848" s="309"/>
      <c r="AC848" s="309"/>
    </row>
    <row r="849" spans="1:29" ht="12.75" customHeight="1">
      <c r="A849" s="309"/>
      <c r="B849" s="309"/>
      <c r="C849" s="309"/>
      <c r="D849" s="309"/>
      <c r="E849" s="309"/>
      <c r="F849" s="309"/>
      <c r="G849" s="309"/>
      <c r="H849" s="309"/>
      <c r="I849" s="309"/>
      <c r="J849" s="309"/>
      <c r="K849" s="310"/>
      <c r="L849" s="309"/>
      <c r="M849" s="309"/>
      <c r="N849" s="309"/>
      <c r="O849" s="309"/>
      <c r="P849" s="309"/>
      <c r="Q849" s="309"/>
      <c r="R849" s="309"/>
      <c r="S849" s="309"/>
      <c r="T849" s="309"/>
      <c r="U849" s="309"/>
      <c r="V849" s="309"/>
      <c r="W849" s="309"/>
      <c r="X849" s="309"/>
      <c r="Y849" s="309"/>
      <c r="Z849" s="309"/>
      <c r="AA849" s="309"/>
      <c r="AB849" s="309"/>
      <c r="AC849" s="309"/>
    </row>
    <row r="850" spans="1:29" ht="12.75" customHeight="1">
      <c r="A850" s="309"/>
      <c r="B850" s="309"/>
      <c r="C850" s="309"/>
      <c r="D850" s="309"/>
      <c r="E850" s="309"/>
      <c r="F850" s="309"/>
      <c r="G850" s="309"/>
      <c r="H850" s="309"/>
      <c r="I850" s="309"/>
      <c r="J850" s="309"/>
      <c r="K850" s="310"/>
      <c r="L850" s="309"/>
      <c r="M850" s="309"/>
      <c r="N850" s="309"/>
      <c r="O850" s="309"/>
      <c r="P850" s="309"/>
      <c r="Q850" s="309"/>
      <c r="R850" s="309"/>
      <c r="S850" s="309"/>
      <c r="T850" s="309"/>
      <c r="U850" s="309"/>
      <c r="V850" s="309"/>
      <c r="W850" s="309"/>
      <c r="X850" s="309"/>
      <c r="Y850" s="309"/>
      <c r="Z850" s="309"/>
      <c r="AA850" s="309"/>
      <c r="AB850" s="309"/>
      <c r="AC850" s="309"/>
    </row>
    <row r="851" spans="1:29" ht="12.75" customHeight="1">
      <c r="A851" s="309"/>
      <c r="B851" s="309"/>
      <c r="C851" s="309"/>
      <c r="D851" s="309"/>
      <c r="E851" s="309"/>
      <c r="F851" s="309"/>
      <c r="G851" s="309"/>
      <c r="H851" s="309"/>
      <c r="I851" s="309"/>
      <c r="J851" s="309"/>
      <c r="K851" s="310"/>
      <c r="L851" s="309"/>
      <c r="M851" s="309"/>
      <c r="N851" s="309"/>
      <c r="O851" s="309"/>
      <c r="P851" s="309"/>
      <c r="Q851" s="309"/>
      <c r="R851" s="309"/>
      <c r="S851" s="309"/>
      <c r="T851" s="309"/>
      <c r="U851" s="309"/>
      <c r="V851" s="309"/>
      <c r="W851" s="309"/>
      <c r="X851" s="309"/>
      <c r="Y851" s="309"/>
      <c r="Z851" s="309"/>
      <c r="AA851" s="309"/>
      <c r="AB851" s="309"/>
      <c r="AC851" s="309"/>
    </row>
    <row r="852" spans="1:29" ht="12.75" customHeight="1">
      <c r="A852" s="309"/>
      <c r="B852" s="309"/>
      <c r="C852" s="309"/>
      <c r="D852" s="309"/>
      <c r="E852" s="309"/>
      <c r="F852" s="309"/>
      <c r="G852" s="309"/>
      <c r="H852" s="309"/>
      <c r="I852" s="309"/>
      <c r="J852" s="309"/>
      <c r="K852" s="310"/>
      <c r="L852" s="309"/>
      <c r="M852" s="309"/>
      <c r="N852" s="309"/>
      <c r="O852" s="309"/>
      <c r="P852" s="309"/>
      <c r="Q852" s="309"/>
      <c r="R852" s="309"/>
      <c r="S852" s="309"/>
      <c r="T852" s="309"/>
      <c r="U852" s="309"/>
      <c r="V852" s="309"/>
      <c r="W852" s="309"/>
      <c r="X852" s="309"/>
      <c r="Y852" s="309"/>
      <c r="Z852" s="309"/>
      <c r="AA852" s="309"/>
      <c r="AB852" s="309"/>
      <c r="AC852" s="309"/>
    </row>
    <row r="853" spans="1:29" ht="12.75" customHeight="1">
      <c r="A853" s="309"/>
      <c r="B853" s="309"/>
      <c r="C853" s="309"/>
      <c r="D853" s="309"/>
      <c r="E853" s="309"/>
      <c r="F853" s="309"/>
      <c r="G853" s="309"/>
      <c r="H853" s="309"/>
      <c r="I853" s="309"/>
      <c r="J853" s="309"/>
      <c r="K853" s="310"/>
      <c r="L853" s="309"/>
      <c r="M853" s="309"/>
      <c r="N853" s="309"/>
      <c r="O853" s="309"/>
      <c r="P853" s="309"/>
      <c r="Q853" s="309"/>
      <c r="R853" s="309"/>
      <c r="S853" s="309"/>
      <c r="T853" s="309"/>
      <c r="U853" s="309"/>
      <c r="V853" s="309"/>
      <c r="W853" s="309"/>
      <c r="X853" s="309"/>
      <c r="Y853" s="309"/>
      <c r="Z853" s="309"/>
      <c r="AA853" s="309"/>
      <c r="AB853" s="309"/>
      <c r="AC853" s="309"/>
    </row>
    <row r="854" spans="1:29" ht="12.75" customHeight="1">
      <c r="A854" s="309"/>
      <c r="B854" s="309"/>
      <c r="C854" s="309"/>
      <c r="D854" s="309"/>
      <c r="E854" s="309"/>
      <c r="F854" s="309"/>
      <c r="G854" s="309"/>
      <c r="H854" s="309"/>
      <c r="I854" s="309"/>
      <c r="J854" s="309"/>
      <c r="K854" s="310"/>
      <c r="L854" s="309"/>
      <c r="M854" s="309"/>
      <c r="N854" s="309"/>
      <c r="O854" s="309"/>
      <c r="P854" s="309"/>
      <c r="Q854" s="309"/>
      <c r="R854" s="309"/>
      <c r="S854" s="309"/>
      <c r="T854" s="309"/>
      <c r="U854" s="309"/>
      <c r="V854" s="309"/>
      <c r="W854" s="309"/>
      <c r="X854" s="309"/>
      <c r="Y854" s="309"/>
      <c r="Z854" s="309"/>
      <c r="AA854" s="309"/>
      <c r="AB854" s="309"/>
      <c r="AC854" s="309"/>
    </row>
    <row r="855" spans="1:29" ht="12.75" customHeight="1">
      <c r="A855" s="309"/>
      <c r="B855" s="309"/>
      <c r="C855" s="309"/>
      <c r="D855" s="309"/>
      <c r="E855" s="309"/>
      <c r="F855" s="309"/>
      <c r="G855" s="309"/>
      <c r="H855" s="309"/>
      <c r="I855" s="309"/>
      <c r="J855" s="309"/>
      <c r="K855" s="310"/>
      <c r="L855" s="309"/>
      <c r="M855" s="309"/>
      <c r="N855" s="309"/>
      <c r="O855" s="309"/>
      <c r="P855" s="309"/>
      <c r="Q855" s="309"/>
      <c r="R855" s="309"/>
      <c r="S855" s="309"/>
      <c r="T855" s="309"/>
      <c r="U855" s="309"/>
      <c r="V855" s="309"/>
      <c r="W855" s="309"/>
      <c r="X855" s="309"/>
      <c r="Y855" s="309"/>
      <c r="Z855" s="309"/>
      <c r="AA855" s="309"/>
      <c r="AB855" s="309"/>
      <c r="AC855" s="309"/>
    </row>
    <row r="856" spans="1:29" ht="12.75" customHeight="1">
      <c r="A856" s="309"/>
      <c r="B856" s="309"/>
      <c r="C856" s="309"/>
      <c r="D856" s="309"/>
      <c r="E856" s="309"/>
      <c r="F856" s="309"/>
      <c r="G856" s="309"/>
      <c r="H856" s="309"/>
      <c r="I856" s="309"/>
      <c r="J856" s="309"/>
      <c r="K856" s="310"/>
      <c r="L856" s="309"/>
      <c r="M856" s="309"/>
      <c r="N856" s="309"/>
      <c r="O856" s="309"/>
      <c r="P856" s="309"/>
      <c r="Q856" s="309"/>
      <c r="R856" s="309"/>
      <c r="S856" s="309"/>
      <c r="T856" s="309"/>
      <c r="U856" s="309"/>
      <c r="V856" s="309"/>
      <c r="W856" s="309"/>
      <c r="X856" s="309"/>
      <c r="Y856" s="309"/>
      <c r="Z856" s="309"/>
      <c r="AA856" s="309"/>
      <c r="AB856" s="309"/>
      <c r="AC856" s="309"/>
    </row>
    <row r="857" spans="1:29" ht="12.75" customHeight="1">
      <c r="A857" s="309"/>
      <c r="B857" s="309"/>
      <c r="C857" s="309"/>
      <c r="D857" s="309"/>
      <c r="E857" s="309"/>
      <c r="F857" s="309"/>
      <c r="G857" s="309"/>
      <c r="H857" s="309"/>
      <c r="I857" s="309"/>
      <c r="J857" s="309"/>
      <c r="K857" s="310"/>
      <c r="L857" s="309"/>
      <c r="M857" s="309"/>
      <c r="N857" s="309"/>
      <c r="O857" s="309"/>
      <c r="P857" s="309"/>
      <c r="Q857" s="309"/>
      <c r="R857" s="309"/>
      <c r="S857" s="309"/>
      <c r="T857" s="309"/>
      <c r="U857" s="309"/>
      <c r="V857" s="309"/>
      <c r="W857" s="309"/>
      <c r="X857" s="309"/>
      <c r="Y857" s="309"/>
      <c r="Z857" s="309"/>
      <c r="AA857" s="309"/>
      <c r="AB857" s="309"/>
      <c r="AC857" s="309"/>
    </row>
    <row r="858" spans="1:29" ht="12.75" customHeight="1">
      <c r="A858" s="309"/>
      <c r="B858" s="309"/>
      <c r="C858" s="309"/>
      <c r="D858" s="309"/>
      <c r="E858" s="309"/>
      <c r="F858" s="309"/>
      <c r="G858" s="309"/>
      <c r="H858" s="309"/>
      <c r="I858" s="309"/>
      <c r="J858" s="309"/>
      <c r="K858" s="310"/>
      <c r="L858" s="309"/>
      <c r="M858" s="309"/>
      <c r="N858" s="309"/>
      <c r="O858" s="309"/>
      <c r="P858" s="309"/>
      <c r="Q858" s="309"/>
      <c r="R858" s="309"/>
      <c r="S858" s="309"/>
      <c r="T858" s="309"/>
      <c r="U858" s="309"/>
      <c r="V858" s="309"/>
      <c r="W858" s="309"/>
      <c r="X858" s="309"/>
      <c r="Y858" s="309"/>
      <c r="Z858" s="309"/>
      <c r="AA858" s="309"/>
      <c r="AB858" s="309"/>
      <c r="AC858" s="309"/>
    </row>
    <row r="859" spans="1:29" ht="12.75" customHeight="1">
      <c r="A859" s="309"/>
      <c r="B859" s="309"/>
      <c r="C859" s="309"/>
      <c r="D859" s="309"/>
      <c r="E859" s="309"/>
      <c r="F859" s="309"/>
      <c r="G859" s="309"/>
      <c r="H859" s="309"/>
      <c r="I859" s="309"/>
      <c r="J859" s="309"/>
      <c r="K859" s="310"/>
      <c r="L859" s="309"/>
      <c r="M859" s="309"/>
      <c r="N859" s="309"/>
      <c r="O859" s="309"/>
      <c r="P859" s="309"/>
      <c r="Q859" s="309"/>
      <c r="R859" s="309"/>
      <c r="S859" s="309"/>
      <c r="T859" s="309"/>
      <c r="U859" s="309"/>
      <c r="V859" s="309"/>
      <c r="W859" s="309"/>
      <c r="X859" s="309"/>
      <c r="Y859" s="309"/>
      <c r="Z859" s="309"/>
      <c r="AA859" s="309"/>
      <c r="AB859" s="309"/>
      <c r="AC859" s="309"/>
    </row>
    <row r="860" spans="1:29" ht="12.75" customHeight="1">
      <c r="A860" s="309"/>
      <c r="B860" s="309"/>
      <c r="C860" s="309"/>
      <c r="D860" s="309"/>
      <c r="E860" s="309"/>
      <c r="F860" s="309"/>
      <c r="G860" s="309"/>
      <c r="H860" s="309"/>
      <c r="I860" s="309"/>
      <c r="J860" s="309"/>
      <c r="K860" s="310"/>
      <c r="L860" s="309"/>
      <c r="M860" s="309"/>
      <c r="N860" s="309"/>
      <c r="O860" s="309"/>
      <c r="P860" s="309"/>
      <c r="Q860" s="309"/>
      <c r="R860" s="309"/>
      <c r="S860" s="309"/>
      <c r="T860" s="309"/>
      <c r="U860" s="309"/>
      <c r="V860" s="309"/>
      <c r="W860" s="309"/>
      <c r="X860" s="309"/>
      <c r="Y860" s="309"/>
      <c r="Z860" s="309"/>
      <c r="AA860" s="309"/>
      <c r="AB860" s="309"/>
      <c r="AC860" s="309"/>
    </row>
    <row r="861" spans="1:29" ht="12.75" customHeight="1">
      <c r="A861" s="309"/>
      <c r="B861" s="309"/>
      <c r="C861" s="309"/>
      <c r="D861" s="309"/>
      <c r="E861" s="309"/>
      <c r="F861" s="309"/>
      <c r="G861" s="309"/>
      <c r="H861" s="309"/>
      <c r="I861" s="309"/>
      <c r="J861" s="309"/>
      <c r="K861" s="310"/>
      <c r="L861" s="309"/>
      <c r="M861" s="309"/>
      <c r="N861" s="309"/>
      <c r="O861" s="309"/>
      <c r="P861" s="309"/>
      <c r="Q861" s="309"/>
      <c r="R861" s="309"/>
      <c r="S861" s="309"/>
      <c r="T861" s="309"/>
      <c r="U861" s="309"/>
      <c r="V861" s="309"/>
      <c r="W861" s="309"/>
      <c r="X861" s="309"/>
      <c r="Y861" s="309"/>
      <c r="Z861" s="309"/>
      <c r="AA861" s="309"/>
      <c r="AB861" s="309"/>
      <c r="AC861" s="309"/>
    </row>
    <row r="862" spans="1:29" ht="12.75" customHeight="1">
      <c r="A862" s="309"/>
      <c r="B862" s="309"/>
      <c r="C862" s="309"/>
      <c r="D862" s="309"/>
      <c r="E862" s="309"/>
      <c r="F862" s="309"/>
      <c r="G862" s="309"/>
      <c r="H862" s="309"/>
      <c r="I862" s="309"/>
      <c r="J862" s="309"/>
      <c r="K862" s="310"/>
      <c r="L862" s="309"/>
      <c r="M862" s="309"/>
      <c r="N862" s="309"/>
      <c r="O862" s="309"/>
      <c r="P862" s="309"/>
      <c r="Q862" s="309"/>
      <c r="R862" s="309"/>
      <c r="S862" s="309"/>
      <c r="T862" s="309"/>
      <c r="U862" s="309"/>
      <c r="V862" s="309"/>
      <c r="W862" s="309"/>
      <c r="X862" s="309"/>
      <c r="Y862" s="309"/>
      <c r="Z862" s="309"/>
      <c r="AA862" s="309"/>
      <c r="AB862" s="309"/>
      <c r="AC862" s="309"/>
    </row>
    <row r="863" spans="1:29" ht="12.75" customHeight="1">
      <c r="A863" s="309"/>
      <c r="B863" s="309"/>
      <c r="C863" s="309"/>
      <c r="D863" s="309"/>
      <c r="E863" s="309"/>
      <c r="F863" s="309"/>
      <c r="G863" s="309"/>
      <c r="H863" s="309"/>
      <c r="I863" s="309"/>
      <c r="J863" s="309"/>
      <c r="K863" s="310"/>
      <c r="L863" s="309"/>
      <c r="M863" s="309"/>
      <c r="N863" s="309"/>
      <c r="O863" s="309"/>
      <c r="P863" s="309"/>
      <c r="Q863" s="309"/>
      <c r="R863" s="309"/>
      <c r="S863" s="309"/>
      <c r="T863" s="309"/>
      <c r="U863" s="309"/>
      <c r="V863" s="309"/>
      <c r="W863" s="309"/>
      <c r="X863" s="309"/>
      <c r="Y863" s="309"/>
      <c r="Z863" s="309"/>
      <c r="AA863" s="309"/>
      <c r="AB863" s="309"/>
      <c r="AC863" s="309"/>
    </row>
    <row r="864" spans="1:29" ht="12.75" customHeight="1">
      <c r="A864" s="309"/>
      <c r="B864" s="309"/>
      <c r="C864" s="309"/>
      <c r="D864" s="309"/>
      <c r="E864" s="309"/>
      <c r="F864" s="309"/>
      <c r="G864" s="309"/>
      <c r="H864" s="309"/>
      <c r="I864" s="309"/>
      <c r="J864" s="309"/>
      <c r="K864" s="310"/>
      <c r="L864" s="309"/>
      <c r="M864" s="309"/>
      <c r="N864" s="309"/>
      <c r="O864" s="309"/>
      <c r="P864" s="309"/>
      <c r="Q864" s="309"/>
      <c r="R864" s="309"/>
      <c r="S864" s="309"/>
      <c r="T864" s="309"/>
      <c r="U864" s="309"/>
      <c r="V864" s="309"/>
      <c r="W864" s="309"/>
      <c r="X864" s="309"/>
      <c r="Y864" s="309"/>
      <c r="Z864" s="309"/>
      <c r="AA864" s="309"/>
      <c r="AB864" s="309"/>
      <c r="AC864" s="309"/>
    </row>
    <row r="865" spans="1:29" ht="12.75" customHeight="1">
      <c r="A865" s="309"/>
      <c r="B865" s="309"/>
      <c r="C865" s="309"/>
      <c r="D865" s="309"/>
      <c r="E865" s="309"/>
      <c r="F865" s="309"/>
      <c r="G865" s="309"/>
      <c r="H865" s="309"/>
      <c r="I865" s="309"/>
      <c r="J865" s="309"/>
      <c r="K865" s="310"/>
      <c r="L865" s="309"/>
      <c r="M865" s="309"/>
      <c r="N865" s="309"/>
      <c r="O865" s="309"/>
      <c r="P865" s="309"/>
      <c r="Q865" s="309"/>
      <c r="R865" s="309"/>
      <c r="S865" s="309"/>
      <c r="T865" s="309"/>
      <c r="U865" s="309"/>
      <c r="V865" s="309"/>
      <c r="W865" s="309"/>
      <c r="X865" s="309"/>
      <c r="Y865" s="309"/>
      <c r="Z865" s="309"/>
      <c r="AA865" s="309"/>
      <c r="AB865" s="309"/>
      <c r="AC865" s="309"/>
    </row>
    <row r="866" spans="1:29" ht="12.75" customHeight="1">
      <c r="A866" s="309"/>
      <c r="B866" s="309"/>
      <c r="C866" s="309"/>
      <c r="D866" s="309"/>
      <c r="E866" s="309"/>
      <c r="F866" s="309"/>
      <c r="G866" s="309"/>
      <c r="H866" s="309"/>
      <c r="I866" s="309"/>
      <c r="J866" s="309"/>
      <c r="K866" s="310"/>
      <c r="L866" s="309"/>
      <c r="M866" s="309"/>
      <c r="N866" s="309"/>
      <c r="O866" s="309"/>
      <c r="P866" s="309"/>
      <c r="Q866" s="309"/>
      <c r="R866" s="309"/>
      <c r="S866" s="309"/>
      <c r="T866" s="309"/>
      <c r="U866" s="309"/>
      <c r="V866" s="309"/>
      <c r="W866" s="309"/>
      <c r="X866" s="309"/>
      <c r="Y866" s="309"/>
      <c r="Z866" s="309"/>
      <c r="AA866" s="309"/>
      <c r="AB866" s="309"/>
      <c r="AC866" s="309"/>
    </row>
    <row r="867" spans="1:29" ht="12.75" customHeight="1">
      <c r="A867" s="309"/>
      <c r="B867" s="309"/>
      <c r="C867" s="309"/>
      <c r="D867" s="309"/>
      <c r="E867" s="309"/>
      <c r="F867" s="309"/>
      <c r="G867" s="309"/>
      <c r="H867" s="309"/>
      <c r="I867" s="309"/>
      <c r="J867" s="309"/>
      <c r="K867" s="310"/>
      <c r="L867" s="309"/>
      <c r="M867" s="309"/>
      <c r="N867" s="309"/>
      <c r="O867" s="309"/>
      <c r="P867" s="309"/>
      <c r="Q867" s="309"/>
      <c r="R867" s="309"/>
      <c r="S867" s="309"/>
      <c r="T867" s="309"/>
      <c r="U867" s="309"/>
      <c r="V867" s="309"/>
      <c r="W867" s="309"/>
      <c r="X867" s="309"/>
      <c r="Y867" s="309"/>
      <c r="Z867" s="309"/>
      <c r="AA867" s="309"/>
      <c r="AB867" s="309"/>
      <c r="AC867" s="309"/>
    </row>
    <row r="868" spans="1:29" ht="12.75" customHeight="1">
      <c r="A868" s="309"/>
      <c r="B868" s="309"/>
      <c r="C868" s="309"/>
      <c r="D868" s="309"/>
      <c r="E868" s="309"/>
      <c r="F868" s="309"/>
      <c r="G868" s="309"/>
      <c r="H868" s="309"/>
      <c r="I868" s="309"/>
      <c r="J868" s="309"/>
      <c r="K868" s="310"/>
      <c r="L868" s="309"/>
      <c r="M868" s="309"/>
      <c r="N868" s="309"/>
      <c r="O868" s="309"/>
      <c r="P868" s="309"/>
      <c r="Q868" s="309"/>
      <c r="R868" s="309"/>
      <c r="S868" s="309"/>
      <c r="T868" s="309"/>
      <c r="U868" s="309"/>
      <c r="V868" s="309"/>
      <c r="W868" s="309"/>
      <c r="X868" s="309"/>
      <c r="Y868" s="309"/>
      <c r="Z868" s="309"/>
      <c r="AA868" s="309"/>
      <c r="AB868" s="309"/>
      <c r="AC868" s="309"/>
    </row>
    <row r="869" spans="1:29" ht="12.75" customHeight="1">
      <c r="A869" s="309"/>
      <c r="B869" s="309"/>
      <c r="C869" s="309"/>
      <c r="D869" s="309"/>
      <c r="E869" s="309"/>
      <c r="F869" s="309"/>
      <c r="G869" s="309"/>
      <c r="H869" s="309"/>
      <c r="I869" s="309"/>
      <c r="J869" s="309"/>
      <c r="K869" s="310"/>
      <c r="L869" s="309"/>
      <c r="M869" s="309"/>
      <c r="N869" s="309"/>
      <c r="O869" s="309"/>
      <c r="P869" s="309"/>
      <c r="Q869" s="309"/>
      <c r="R869" s="309"/>
      <c r="S869" s="309"/>
      <c r="T869" s="309"/>
      <c r="U869" s="309"/>
      <c r="V869" s="309"/>
      <c r="W869" s="309"/>
      <c r="X869" s="309"/>
      <c r="Y869" s="309"/>
      <c r="Z869" s="309"/>
      <c r="AA869" s="309"/>
      <c r="AB869" s="309"/>
      <c r="AC869" s="309"/>
    </row>
    <row r="870" spans="1:29" ht="12.75" customHeight="1">
      <c r="A870" s="309"/>
      <c r="B870" s="309"/>
      <c r="C870" s="309"/>
      <c r="D870" s="309"/>
      <c r="E870" s="309"/>
      <c r="F870" s="309"/>
      <c r="G870" s="309"/>
      <c r="H870" s="309"/>
      <c r="I870" s="309"/>
      <c r="J870" s="309"/>
      <c r="K870" s="310"/>
      <c r="L870" s="309"/>
      <c r="M870" s="309"/>
      <c r="N870" s="309"/>
      <c r="O870" s="309"/>
      <c r="P870" s="309"/>
      <c r="Q870" s="309"/>
      <c r="R870" s="309"/>
      <c r="S870" s="309"/>
      <c r="T870" s="309"/>
      <c r="U870" s="309"/>
      <c r="V870" s="309"/>
      <c r="W870" s="309"/>
      <c r="X870" s="309"/>
      <c r="Y870" s="309"/>
      <c r="Z870" s="309"/>
      <c r="AA870" s="309"/>
      <c r="AB870" s="309"/>
      <c r="AC870" s="309"/>
    </row>
    <row r="871" spans="1:29" ht="12.75" customHeight="1">
      <c r="A871" s="309"/>
      <c r="B871" s="309"/>
      <c r="C871" s="309"/>
      <c r="D871" s="309"/>
      <c r="E871" s="309"/>
      <c r="F871" s="309"/>
      <c r="G871" s="309"/>
      <c r="H871" s="309"/>
      <c r="I871" s="309"/>
      <c r="J871" s="309"/>
      <c r="K871" s="310"/>
      <c r="L871" s="309"/>
      <c r="M871" s="309"/>
      <c r="N871" s="309"/>
      <c r="O871" s="309"/>
      <c r="P871" s="309"/>
      <c r="Q871" s="309"/>
      <c r="R871" s="309"/>
      <c r="S871" s="309"/>
      <c r="T871" s="309"/>
      <c r="U871" s="309"/>
      <c r="V871" s="309"/>
      <c r="W871" s="309"/>
      <c r="X871" s="309"/>
      <c r="Y871" s="309"/>
      <c r="Z871" s="309"/>
      <c r="AA871" s="309"/>
      <c r="AB871" s="309"/>
      <c r="AC871" s="309"/>
    </row>
    <row r="872" spans="1:29" ht="12.75" customHeight="1">
      <c r="A872" s="309"/>
      <c r="B872" s="309"/>
      <c r="C872" s="309"/>
      <c r="D872" s="309"/>
      <c r="E872" s="309"/>
      <c r="F872" s="309"/>
      <c r="G872" s="309"/>
      <c r="H872" s="309"/>
      <c r="I872" s="309"/>
      <c r="J872" s="309"/>
      <c r="K872" s="310"/>
      <c r="L872" s="309"/>
      <c r="M872" s="309"/>
      <c r="N872" s="309"/>
      <c r="O872" s="309"/>
      <c r="P872" s="309"/>
      <c r="Q872" s="309"/>
      <c r="R872" s="309"/>
      <c r="S872" s="309"/>
      <c r="T872" s="309"/>
      <c r="U872" s="309"/>
      <c r="V872" s="309"/>
      <c r="W872" s="309"/>
      <c r="X872" s="309"/>
      <c r="Y872" s="309"/>
      <c r="Z872" s="309"/>
      <c r="AA872" s="309"/>
      <c r="AB872" s="309"/>
      <c r="AC872" s="309"/>
    </row>
    <row r="873" spans="1:29" ht="12.75" customHeight="1">
      <c r="A873" s="309"/>
      <c r="B873" s="309"/>
      <c r="C873" s="309"/>
      <c r="D873" s="309"/>
      <c r="E873" s="309"/>
      <c r="F873" s="309"/>
      <c r="G873" s="309"/>
      <c r="H873" s="309"/>
      <c r="I873" s="309"/>
      <c r="J873" s="309"/>
      <c r="K873" s="310"/>
      <c r="L873" s="309"/>
      <c r="M873" s="309"/>
      <c r="N873" s="309"/>
      <c r="O873" s="309"/>
      <c r="P873" s="309"/>
      <c r="Q873" s="309"/>
      <c r="R873" s="309"/>
      <c r="S873" s="309"/>
      <c r="T873" s="309"/>
      <c r="U873" s="309"/>
      <c r="V873" s="309"/>
      <c r="W873" s="309"/>
      <c r="X873" s="309"/>
      <c r="Y873" s="309"/>
      <c r="Z873" s="309"/>
      <c r="AA873" s="309"/>
      <c r="AB873" s="309"/>
      <c r="AC873" s="309"/>
    </row>
    <row r="874" spans="1:29" ht="12.75" customHeight="1">
      <c r="A874" s="309"/>
      <c r="B874" s="309"/>
      <c r="C874" s="309"/>
      <c r="D874" s="309"/>
      <c r="E874" s="309"/>
      <c r="F874" s="309"/>
      <c r="G874" s="309"/>
      <c r="H874" s="309"/>
      <c r="I874" s="309"/>
      <c r="J874" s="309"/>
      <c r="K874" s="310"/>
      <c r="L874" s="309"/>
      <c r="M874" s="309"/>
      <c r="N874" s="309"/>
      <c r="O874" s="309"/>
      <c r="P874" s="309"/>
      <c r="Q874" s="309"/>
      <c r="R874" s="309"/>
      <c r="S874" s="309"/>
      <c r="T874" s="309"/>
      <c r="U874" s="309"/>
      <c r="V874" s="309"/>
      <c r="W874" s="309"/>
      <c r="X874" s="309"/>
      <c r="Y874" s="309"/>
      <c r="Z874" s="309"/>
      <c r="AA874" s="309"/>
      <c r="AB874" s="309"/>
      <c r="AC874" s="309"/>
    </row>
    <row r="875" spans="1:29" ht="12.75" customHeight="1">
      <c r="A875" s="309"/>
      <c r="B875" s="309"/>
      <c r="C875" s="309"/>
      <c r="D875" s="309"/>
      <c r="E875" s="309"/>
      <c r="F875" s="309"/>
      <c r="G875" s="309"/>
      <c r="H875" s="309"/>
      <c r="I875" s="309"/>
      <c r="J875" s="309"/>
      <c r="K875" s="310"/>
      <c r="L875" s="309"/>
      <c r="M875" s="309"/>
      <c r="N875" s="309"/>
      <c r="O875" s="309"/>
      <c r="P875" s="309"/>
      <c r="Q875" s="309"/>
      <c r="R875" s="309"/>
      <c r="S875" s="309"/>
      <c r="T875" s="309"/>
      <c r="U875" s="309"/>
      <c r="V875" s="309"/>
      <c r="W875" s="309"/>
      <c r="X875" s="309"/>
      <c r="Y875" s="309"/>
      <c r="Z875" s="309"/>
      <c r="AA875" s="309"/>
      <c r="AB875" s="309"/>
      <c r="AC875" s="309"/>
    </row>
    <row r="876" spans="1:29" ht="12.75" customHeight="1">
      <c r="A876" s="309"/>
      <c r="B876" s="309"/>
      <c r="C876" s="309"/>
      <c r="D876" s="309"/>
      <c r="E876" s="309"/>
      <c r="F876" s="309"/>
      <c r="G876" s="309"/>
      <c r="H876" s="309"/>
      <c r="I876" s="309"/>
      <c r="J876" s="309"/>
      <c r="K876" s="310"/>
      <c r="L876" s="309"/>
      <c r="M876" s="309"/>
      <c r="N876" s="309"/>
      <c r="O876" s="309"/>
      <c r="P876" s="309"/>
      <c r="Q876" s="309"/>
      <c r="R876" s="309"/>
      <c r="S876" s="309"/>
      <c r="T876" s="309"/>
      <c r="U876" s="309"/>
      <c r="V876" s="309"/>
      <c r="W876" s="309"/>
      <c r="X876" s="309"/>
      <c r="Y876" s="309"/>
      <c r="Z876" s="309"/>
      <c r="AA876" s="309"/>
      <c r="AB876" s="309"/>
      <c r="AC876" s="309"/>
    </row>
    <row r="877" spans="1:29" ht="12.75" customHeight="1">
      <c r="A877" s="309"/>
      <c r="B877" s="309"/>
      <c r="C877" s="309"/>
      <c r="D877" s="309"/>
      <c r="E877" s="309"/>
      <c r="F877" s="309"/>
      <c r="G877" s="309"/>
      <c r="H877" s="309"/>
      <c r="I877" s="309"/>
      <c r="J877" s="309"/>
      <c r="K877" s="310"/>
      <c r="L877" s="309"/>
      <c r="M877" s="309"/>
      <c r="N877" s="309"/>
      <c r="O877" s="309"/>
      <c r="P877" s="309"/>
      <c r="Q877" s="309"/>
      <c r="R877" s="309"/>
      <c r="S877" s="309"/>
      <c r="T877" s="309"/>
      <c r="U877" s="309"/>
      <c r="V877" s="309"/>
      <c r="W877" s="309"/>
      <c r="X877" s="309"/>
      <c r="Y877" s="309"/>
      <c r="Z877" s="309"/>
      <c r="AA877" s="309"/>
      <c r="AB877" s="309"/>
      <c r="AC877" s="309"/>
    </row>
    <row r="878" spans="1:29" ht="12.75" customHeight="1">
      <c r="A878" s="309"/>
      <c r="B878" s="309"/>
      <c r="C878" s="309"/>
      <c r="D878" s="309"/>
      <c r="E878" s="309"/>
      <c r="F878" s="309"/>
      <c r="G878" s="309"/>
      <c r="H878" s="309"/>
      <c r="I878" s="309"/>
      <c r="J878" s="309"/>
      <c r="K878" s="310"/>
      <c r="L878" s="309"/>
      <c r="M878" s="309"/>
      <c r="N878" s="309"/>
      <c r="O878" s="309"/>
      <c r="P878" s="309"/>
      <c r="Q878" s="309"/>
      <c r="R878" s="309"/>
      <c r="S878" s="309"/>
      <c r="T878" s="309"/>
      <c r="U878" s="309"/>
      <c r="V878" s="309"/>
      <c r="W878" s="309"/>
      <c r="X878" s="309"/>
      <c r="Y878" s="309"/>
      <c r="Z878" s="309"/>
      <c r="AA878" s="309"/>
      <c r="AB878" s="309"/>
      <c r="AC878" s="309"/>
    </row>
    <row r="879" spans="1:29" ht="12.75" customHeight="1">
      <c r="A879" s="309"/>
      <c r="B879" s="309"/>
      <c r="C879" s="309"/>
      <c r="D879" s="309"/>
      <c r="E879" s="309"/>
      <c r="F879" s="309"/>
      <c r="G879" s="309"/>
      <c r="H879" s="309"/>
      <c r="I879" s="309"/>
      <c r="J879" s="309"/>
      <c r="K879" s="310"/>
      <c r="L879" s="309"/>
      <c r="M879" s="309"/>
      <c r="N879" s="309"/>
      <c r="O879" s="309"/>
      <c r="P879" s="309"/>
      <c r="Q879" s="309"/>
      <c r="R879" s="309"/>
      <c r="S879" s="309"/>
      <c r="T879" s="309"/>
      <c r="U879" s="309"/>
      <c r="V879" s="309"/>
      <c r="W879" s="309"/>
      <c r="X879" s="309"/>
      <c r="Y879" s="309"/>
      <c r="Z879" s="309"/>
      <c r="AA879" s="309"/>
      <c r="AB879" s="309"/>
      <c r="AC879" s="309"/>
    </row>
    <row r="880" spans="1:29" ht="12.75" customHeight="1">
      <c r="A880" s="309"/>
      <c r="B880" s="309"/>
      <c r="C880" s="309"/>
      <c r="D880" s="309"/>
      <c r="E880" s="309"/>
      <c r="F880" s="309"/>
      <c r="G880" s="309"/>
      <c r="H880" s="309"/>
      <c r="I880" s="309"/>
      <c r="J880" s="309"/>
      <c r="K880" s="310"/>
      <c r="L880" s="309"/>
      <c r="M880" s="309"/>
      <c r="N880" s="309"/>
      <c r="O880" s="309"/>
      <c r="P880" s="309"/>
      <c r="Q880" s="309"/>
      <c r="R880" s="309"/>
      <c r="S880" s="309"/>
      <c r="T880" s="309"/>
      <c r="U880" s="309"/>
      <c r="V880" s="309"/>
      <c r="W880" s="309"/>
      <c r="X880" s="309"/>
      <c r="Y880" s="309"/>
      <c r="Z880" s="309"/>
      <c r="AA880" s="309"/>
      <c r="AB880" s="309"/>
      <c r="AC880" s="309"/>
    </row>
    <row r="881" spans="1:29" ht="12.75" customHeight="1">
      <c r="A881" s="309"/>
      <c r="B881" s="309"/>
      <c r="C881" s="309"/>
      <c r="D881" s="309"/>
      <c r="E881" s="309"/>
      <c r="F881" s="309"/>
      <c r="G881" s="309"/>
      <c r="H881" s="309"/>
      <c r="I881" s="309"/>
      <c r="J881" s="309"/>
      <c r="K881" s="310"/>
      <c r="L881" s="309"/>
      <c r="M881" s="309"/>
      <c r="N881" s="309"/>
      <c r="O881" s="309"/>
      <c r="P881" s="309"/>
      <c r="Q881" s="309"/>
      <c r="R881" s="309"/>
      <c r="S881" s="309"/>
      <c r="T881" s="309"/>
      <c r="U881" s="309"/>
      <c r="V881" s="309"/>
      <c r="W881" s="309"/>
      <c r="X881" s="309"/>
      <c r="Y881" s="309"/>
      <c r="Z881" s="309"/>
      <c r="AA881" s="309"/>
      <c r="AB881" s="309"/>
      <c r="AC881" s="309"/>
    </row>
    <row r="882" spans="1:29" ht="12.75" customHeight="1">
      <c r="A882" s="309"/>
      <c r="B882" s="309"/>
      <c r="C882" s="309"/>
      <c r="D882" s="309"/>
      <c r="E882" s="309"/>
      <c r="F882" s="309"/>
      <c r="G882" s="309"/>
      <c r="H882" s="309"/>
      <c r="I882" s="309"/>
      <c r="J882" s="309"/>
      <c r="K882" s="310"/>
      <c r="L882" s="309"/>
      <c r="M882" s="309"/>
      <c r="N882" s="309"/>
      <c r="O882" s="309"/>
      <c r="P882" s="309"/>
      <c r="Q882" s="309"/>
      <c r="R882" s="309"/>
      <c r="S882" s="309"/>
      <c r="T882" s="309"/>
      <c r="U882" s="309"/>
      <c r="V882" s="309"/>
      <c r="W882" s="309"/>
      <c r="X882" s="309"/>
      <c r="Y882" s="309"/>
      <c r="Z882" s="309"/>
      <c r="AA882" s="309"/>
      <c r="AB882" s="309"/>
      <c r="AC882" s="309"/>
    </row>
    <row r="883" spans="1:29" ht="12.75" customHeight="1">
      <c r="A883" s="309"/>
      <c r="B883" s="309"/>
      <c r="C883" s="309"/>
      <c r="D883" s="309"/>
      <c r="E883" s="309"/>
      <c r="F883" s="309"/>
      <c r="G883" s="309"/>
      <c r="H883" s="309"/>
      <c r="I883" s="309"/>
      <c r="J883" s="309"/>
      <c r="K883" s="310"/>
      <c r="L883" s="309"/>
      <c r="M883" s="309"/>
      <c r="N883" s="309"/>
      <c r="O883" s="309"/>
      <c r="P883" s="309"/>
      <c r="Q883" s="309"/>
      <c r="R883" s="309"/>
      <c r="S883" s="309"/>
      <c r="T883" s="309"/>
      <c r="U883" s="309"/>
      <c r="V883" s="309"/>
      <c r="W883" s="309"/>
      <c r="X883" s="309"/>
      <c r="Y883" s="309"/>
      <c r="Z883" s="309"/>
      <c r="AA883" s="309"/>
      <c r="AB883" s="309"/>
      <c r="AC883" s="309"/>
    </row>
    <row r="884" spans="1:29" ht="12.75" customHeight="1">
      <c r="A884" s="309"/>
      <c r="B884" s="309"/>
      <c r="C884" s="309"/>
      <c r="D884" s="309"/>
      <c r="E884" s="309"/>
      <c r="F884" s="309"/>
      <c r="G884" s="309"/>
      <c r="H884" s="309"/>
      <c r="I884" s="309"/>
      <c r="J884" s="309"/>
      <c r="K884" s="310"/>
      <c r="L884" s="309"/>
      <c r="M884" s="309"/>
      <c r="N884" s="309"/>
      <c r="O884" s="309"/>
      <c r="P884" s="309"/>
      <c r="Q884" s="309"/>
      <c r="R884" s="309"/>
      <c r="S884" s="309"/>
      <c r="T884" s="309"/>
      <c r="U884" s="309"/>
      <c r="V884" s="309"/>
      <c r="W884" s="309"/>
      <c r="X884" s="309"/>
      <c r="Y884" s="309"/>
      <c r="Z884" s="309"/>
      <c r="AA884" s="309"/>
      <c r="AB884" s="309"/>
      <c r="AC884" s="309"/>
    </row>
    <row r="885" spans="1:29" ht="12.75" customHeight="1">
      <c r="A885" s="309"/>
      <c r="B885" s="309"/>
      <c r="C885" s="309"/>
      <c r="D885" s="309"/>
      <c r="E885" s="309"/>
      <c r="F885" s="309"/>
      <c r="G885" s="309"/>
      <c r="H885" s="309"/>
      <c r="I885" s="309"/>
      <c r="J885" s="309"/>
      <c r="K885" s="310"/>
      <c r="L885" s="309"/>
      <c r="M885" s="309"/>
      <c r="N885" s="309"/>
      <c r="O885" s="309"/>
      <c r="P885" s="309"/>
      <c r="Q885" s="309"/>
      <c r="R885" s="309"/>
      <c r="S885" s="309"/>
      <c r="T885" s="309"/>
      <c r="U885" s="309"/>
      <c r="V885" s="309"/>
      <c r="W885" s="309"/>
      <c r="X885" s="309"/>
      <c r="Y885" s="309"/>
      <c r="Z885" s="309"/>
      <c r="AA885" s="309"/>
      <c r="AB885" s="309"/>
      <c r="AC885" s="309"/>
    </row>
    <row r="886" spans="1:29" ht="12.75" customHeight="1">
      <c r="A886" s="309"/>
      <c r="B886" s="309"/>
      <c r="C886" s="309"/>
      <c r="D886" s="309"/>
      <c r="E886" s="309"/>
      <c r="F886" s="309"/>
      <c r="G886" s="309"/>
      <c r="H886" s="309"/>
      <c r="I886" s="309"/>
      <c r="J886" s="309"/>
      <c r="K886" s="310"/>
      <c r="L886" s="309"/>
      <c r="M886" s="309"/>
      <c r="N886" s="309"/>
      <c r="O886" s="309"/>
      <c r="P886" s="309"/>
      <c r="Q886" s="309"/>
      <c r="R886" s="309"/>
      <c r="S886" s="309"/>
      <c r="T886" s="309"/>
      <c r="U886" s="309"/>
      <c r="V886" s="309"/>
      <c r="W886" s="309"/>
      <c r="X886" s="309"/>
      <c r="Y886" s="309"/>
      <c r="Z886" s="309"/>
      <c r="AA886" s="309"/>
      <c r="AB886" s="309"/>
      <c r="AC886" s="309"/>
    </row>
    <row r="887" spans="1:29" ht="12.75" customHeight="1">
      <c r="A887" s="309"/>
      <c r="B887" s="309"/>
      <c r="C887" s="309"/>
      <c r="D887" s="309"/>
      <c r="E887" s="309"/>
      <c r="F887" s="309"/>
      <c r="G887" s="309"/>
      <c r="H887" s="309"/>
      <c r="I887" s="309"/>
      <c r="J887" s="309"/>
      <c r="K887" s="310"/>
      <c r="L887" s="309"/>
      <c r="M887" s="309"/>
      <c r="N887" s="309"/>
      <c r="O887" s="309"/>
      <c r="P887" s="309"/>
      <c r="Q887" s="309"/>
      <c r="R887" s="309"/>
      <c r="S887" s="309"/>
      <c r="T887" s="309"/>
      <c r="U887" s="309"/>
      <c r="V887" s="309"/>
      <c r="W887" s="309"/>
      <c r="X887" s="309"/>
      <c r="Y887" s="309"/>
      <c r="Z887" s="309"/>
      <c r="AA887" s="309"/>
      <c r="AB887" s="309"/>
      <c r="AC887" s="309"/>
    </row>
    <row r="888" spans="1:29" ht="12.75" customHeight="1">
      <c r="A888" s="309"/>
      <c r="B888" s="309"/>
      <c r="C888" s="309"/>
      <c r="D888" s="309"/>
      <c r="E888" s="309"/>
      <c r="F888" s="309"/>
      <c r="G888" s="309"/>
      <c r="H888" s="309"/>
      <c r="I888" s="309"/>
      <c r="J888" s="309"/>
      <c r="K888" s="310"/>
      <c r="L888" s="309"/>
      <c r="M888" s="309"/>
      <c r="N888" s="309"/>
      <c r="O888" s="309"/>
      <c r="P888" s="309"/>
      <c r="Q888" s="309"/>
      <c r="R888" s="309"/>
      <c r="S888" s="309"/>
      <c r="T888" s="309"/>
      <c r="U888" s="309"/>
      <c r="V888" s="309"/>
      <c r="W888" s="309"/>
      <c r="X888" s="309"/>
      <c r="Y888" s="309"/>
      <c r="Z888" s="309"/>
      <c r="AA888" s="309"/>
      <c r="AB888" s="309"/>
      <c r="AC888" s="309"/>
    </row>
    <row r="889" spans="1:29" ht="12.75" customHeight="1">
      <c r="A889" s="309"/>
      <c r="B889" s="309"/>
      <c r="C889" s="309"/>
      <c r="D889" s="309"/>
      <c r="E889" s="309"/>
      <c r="F889" s="309"/>
      <c r="G889" s="309"/>
      <c r="H889" s="309"/>
      <c r="I889" s="309"/>
      <c r="J889" s="309"/>
      <c r="K889" s="310"/>
      <c r="L889" s="309"/>
      <c r="M889" s="309"/>
      <c r="N889" s="309"/>
      <c r="O889" s="309"/>
      <c r="P889" s="309"/>
      <c r="Q889" s="309"/>
      <c r="R889" s="309"/>
      <c r="S889" s="309"/>
      <c r="T889" s="309"/>
      <c r="U889" s="309"/>
      <c r="V889" s="309"/>
      <c r="W889" s="309"/>
      <c r="X889" s="309"/>
      <c r="Y889" s="309"/>
      <c r="Z889" s="309"/>
      <c r="AA889" s="309"/>
      <c r="AB889" s="309"/>
      <c r="AC889" s="309"/>
    </row>
    <row r="890" spans="1:29" ht="12.75" customHeight="1">
      <c r="A890" s="309"/>
      <c r="B890" s="309"/>
      <c r="C890" s="309"/>
      <c r="D890" s="309"/>
      <c r="E890" s="309"/>
      <c r="F890" s="309"/>
      <c r="G890" s="309"/>
      <c r="H890" s="309"/>
      <c r="I890" s="309"/>
      <c r="J890" s="309"/>
      <c r="K890" s="310"/>
      <c r="L890" s="309"/>
      <c r="M890" s="309"/>
      <c r="N890" s="309"/>
      <c r="O890" s="309"/>
      <c r="P890" s="309"/>
      <c r="Q890" s="309"/>
      <c r="R890" s="309"/>
      <c r="S890" s="309"/>
      <c r="T890" s="309"/>
      <c r="U890" s="309"/>
      <c r="V890" s="309"/>
      <c r="W890" s="309"/>
      <c r="X890" s="309"/>
      <c r="Y890" s="309"/>
      <c r="Z890" s="309"/>
      <c r="AA890" s="309"/>
      <c r="AB890" s="309"/>
      <c r="AC890" s="309"/>
    </row>
    <row r="891" spans="1:29" ht="12.75" customHeight="1">
      <c r="A891" s="309"/>
      <c r="B891" s="309"/>
      <c r="C891" s="309"/>
      <c r="D891" s="309"/>
      <c r="E891" s="309"/>
      <c r="F891" s="309"/>
      <c r="G891" s="309"/>
      <c r="H891" s="309"/>
      <c r="I891" s="309"/>
      <c r="J891" s="309"/>
      <c r="K891" s="310"/>
      <c r="L891" s="309"/>
      <c r="M891" s="309"/>
      <c r="N891" s="309"/>
      <c r="O891" s="309"/>
      <c r="P891" s="309"/>
      <c r="Q891" s="309"/>
      <c r="R891" s="309"/>
      <c r="S891" s="309"/>
      <c r="T891" s="309"/>
      <c r="U891" s="309"/>
      <c r="V891" s="309"/>
      <c r="W891" s="309"/>
      <c r="X891" s="309"/>
      <c r="Y891" s="309"/>
      <c r="Z891" s="309"/>
      <c r="AA891" s="309"/>
      <c r="AB891" s="309"/>
      <c r="AC891" s="309"/>
    </row>
    <row r="892" spans="1:29" ht="12.75" customHeight="1">
      <c r="A892" s="309"/>
      <c r="B892" s="309"/>
      <c r="C892" s="309"/>
      <c r="D892" s="309"/>
      <c r="E892" s="309"/>
      <c r="F892" s="309"/>
      <c r="G892" s="309"/>
      <c r="H892" s="309"/>
      <c r="I892" s="309"/>
      <c r="J892" s="309"/>
      <c r="K892" s="310"/>
      <c r="L892" s="309"/>
      <c r="M892" s="309"/>
      <c r="N892" s="309"/>
      <c r="O892" s="309"/>
      <c r="P892" s="309"/>
      <c r="Q892" s="309"/>
      <c r="R892" s="309"/>
      <c r="S892" s="309"/>
      <c r="T892" s="309"/>
      <c r="U892" s="309"/>
      <c r="V892" s="309"/>
      <c r="W892" s="309"/>
      <c r="X892" s="309"/>
      <c r="Y892" s="309"/>
      <c r="Z892" s="309"/>
      <c r="AA892" s="309"/>
      <c r="AB892" s="309"/>
      <c r="AC892" s="309"/>
    </row>
    <row r="893" spans="1:29" ht="12.75" customHeight="1">
      <c r="A893" s="309"/>
      <c r="B893" s="309"/>
      <c r="C893" s="309"/>
      <c r="D893" s="309"/>
      <c r="E893" s="309"/>
      <c r="F893" s="309"/>
      <c r="G893" s="309"/>
      <c r="H893" s="309"/>
      <c r="I893" s="309"/>
      <c r="J893" s="309"/>
      <c r="K893" s="310"/>
      <c r="L893" s="309"/>
      <c r="M893" s="309"/>
      <c r="N893" s="309"/>
      <c r="O893" s="309"/>
      <c r="P893" s="309"/>
      <c r="Q893" s="309"/>
      <c r="R893" s="309"/>
      <c r="S893" s="309"/>
      <c r="T893" s="309"/>
      <c r="U893" s="309"/>
      <c r="V893" s="309"/>
      <c r="W893" s="309"/>
      <c r="X893" s="309"/>
      <c r="Y893" s="309"/>
      <c r="Z893" s="309"/>
      <c r="AA893" s="309"/>
      <c r="AB893" s="309"/>
      <c r="AC893" s="309"/>
    </row>
    <row r="894" spans="1:29" ht="12.75" customHeight="1">
      <c r="A894" s="309"/>
      <c r="B894" s="309"/>
      <c r="C894" s="309"/>
      <c r="D894" s="309"/>
      <c r="E894" s="309"/>
      <c r="F894" s="309"/>
      <c r="G894" s="309"/>
      <c r="H894" s="309"/>
      <c r="I894" s="309"/>
      <c r="J894" s="309"/>
      <c r="K894" s="310"/>
      <c r="L894" s="309"/>
      <c r="M894" s="309"/>
      <c r="N894" s="309"/>
      <c r="O894" s="309"/>
      <c r="P894" s="309"/>
      <c r="Q894" s="309"/>
      <c r="R894" s="309"/>
      <c r="S894" s="309"/>
      <c r="T894" s="309"/>
      <c r="U894" s="309"/>
      <c r="V894" s="309"/>
      <c r="W894" s="309"/>
      <c r="X894" s="309"/>
      <c r="Y894" s="309"/>
      <c r="Z894" s="309"/>
      <c r="AA894" s="309"/>
      <c r="AB894" s="309"/>
      <c r="AC894" s="309"/>
    </row>
    <row r="895" spans="1:29" ht="12.75" customHeight="1">
      <c r="A895" s="309"/>
      <c r="B895" s="309"/>
      <c r="C895" s="309"/>
      <c r="D895" s="309"/>
      <c r="E895" s="309"/>
      <c r="F895" s="309"/>
      <c r="G895" s="309"/>
      <c r="H895" s="309"/>
      <c r="I895" s="309"/>
      <c r="J895" s="309"/>
      <c r="K895" s="310"/>
      <c r="L895" s="309"/>
      <c r="M895" s="309"/>
      <c r="N895" s="309"/>
      <c r="O895" s="309"/>
      <c r="P895" s="309"/>
      <c r="Q895" s="309"/>
      <c r="R895" s="309"/>
      <c r="S895" s="309"/>
      <c r="T895" s="309"/>
      <c r="U895" s="309"/>
      <c r="V895" s="309"/>
      <c r="W895" s="309"/>
      <c r="X895" s="309"/>
      <c r="Y895" s="309"/>
      <c r="Z895" s="309"/>
      <c r="AA895" s="309"/>
      <c r="AB895" s="309"/>
      <c r="AC895" s="309"/>
    </row>
    <row r="896" spans="1:29" ht="12.75" customHeight="1">
      <c r="A896" s="309"/>
      <c r="B896" s="309"/>
      <c r="C896" s="309"/>
      <c r="D896" s="309"/>
      <c r="E896" s="309"/>
      <c r="F896" s="309"/>
      <c r="G896" s="309"/>
      <c r="H896" s="309"/>
      <c r="I896" s="309"/>
      <c r="J896" s="309"/>
      <c r="K896" s="310"/>
      <c r="L896" s="309"/>
      <c r="M896" s="309"/>
      <c r="N896" s="309"/>
      <c r="O896" s="309"/>
      <c r="P896" s="309"/>
      <c r="Q896" s="309"/>
      <c r="R896" s="309"/>
      <c r="S896" s="309"/>
      <c r="T896" s="309"/>
      <c r="U896" s="309"/>
      <c r="V896" s="309"/>
      <c r="W896" s="309"/>
      <c r="X896" s="309"/>
      <c r="Y896" s="309"/>
      <c r="Z896" s="309"/>
      <c r="AA896" s="309"/>
      <c r="AB896" s="309"/>
      <c r="AC896" s="309"/>
    </row>
    <row r="897" spans="1:29" ht="12.75" customHeight="1">
      <c r="A897" s="309"/>
      <c r="B897" s="309"/>
      <c r="C897" s="309"/>
      <c r="D897" s="309"/>
      <c r="E897" s="309"/>
      <c r="F897" s="309"/>
      <c r="G897" s="309"/>
      <c r="H897" s="309"/>
      <c r="I897" s="309"/>
      <c r="J897" s="309"/>
      <c r="K897" s="310"/>
      <c r="L897" s="309"/>
      <c r="M897" s="309"/>
      <c r="N897" s="309"/>
      <c r="O897" s="309"/>
      <c r="P897" s="309"/>
      <c r="Q897" s="309"/>
      <c r="R897" s="309"/>
      <c r="S897" s="309"/>
      <c r="T897" s="309"/>
      <c r="U897" s="309"/>
      <c r="V897" s="309"/>
      <c r="W897" s="309"/>
      <c r="X897" s="309"/>
      <c r="Y897" s="309"/>
      <c r="Z897" s="309"/>
      <c r="AA897" s="309"/>
      <c r="AB897" s="309"/>
      <c r="AC897" s="309"/>
    </row>
    <row r="898" spans="1:29" ht="12.75" customHeight="1">
      <c r="A898" s="309"/>
      <c r="B898" s="309"/>
      <c r="C898" s="309"/>
      <c r="D898" s="309"/>
      <c r="E898" s="309"/>
      <c r="F898" s="309"/>
      <c r="G898" s="309"/>
      <c r="H898" s="309"/>
      <c r="I898" s="309"/>
      <c r="J898" s="309"/>
      <c r="K898" s="310"/>
      <c r="L898" s="309"/>
      <c r="M898" s="309"/>
      <c r="N898" s="309"/>
      <c r="O898" s="309"/>
      <c r="P898" s="309"/>
      <c r="Q898" s="309"/>
      <c r="R898" s="309"/>
      <c r="S898" s="309"/>
      <c r="T898" s="309"/>
      <c r="U898" s="309"/>
      <c r="V898" s="309"/>
      <c r="W898" s="309"/>
      <c r="X898" s="309"/>
      <c r="Y898" s="309"/>
      <c r="Z898" s="309"/>
      <c r="AA898" s="309"/>
      <c r="AB898" s="309"/>
      <c r="AC898" s="309"/>
    </row>
    <row r="899" spans="1:29" ht="12.75" customHeight="1">
      <c r="A899" s="309"/>
      <c r="B899" s="309"/>
      <c r="C899" s="309"/>
      <c r="D899" s="309"/>
      <c r="E899" s="309"/>
      <c r="F899" s="309"/>
      <c r="G899" s="309"/>
      <c r="H899" s="309"/>
      <c r="I899" s="309"/>
      <c r="J899" s="309"/>
      <c r="K899" s="310"/>
      <c r="L899" s="309"/>
      <c r="M899" s="309"/>
      <c r="N899" s="309"/>
      <c r="O899" s="309"/>
      <c r="P899" s="309"/>
      <c r="Q899" s="309"/>
      <c r="R899" s="309"/>
      <c r="S899" s="309"/>
      <c r="T899" s="309"/>
      <c r="U899" s="309"/>
      <c r="V899" s="309"/>
      <c r="W899" s="309"/>
      <c r="X899" s="309"/>
      <c r="Y899" s="309"/>
      <c r="Z899" s="309"/>
      <c r="AA899" s="309"/>
      <c r="AB899" s="309"/>
      <c r="AC899" s="309"/>
    </row>
    <row r="900" spans="1:29" ht="12.75" customHeight="1">
      <c r="A900" s="309"/>
      <c r="B900" s="309"/>
      <c r="C900" s="309"/>
      <c r="D900" s="309"/>
      <c r="E900" s="309"/>
      <c r="F900" s="309"/>
      <c r="G900" s="309"/>
      <c r="H900" s="309"/>
      <c r="I900" s="309"/>
      <c r="J900" s="309"/>
      <c r="K900" s="310"/>
      <c r="L900" s="309"/>
      <c r="M900" s="309"/>
      <c r="N900" s="309"/>
      <c r="O900" s="309"/>
      <c r="P900" s="309"/>
      <c r="Q900" s="309"/>
      <c r="R900" s="309"/>
      <c r="S900" s="309"/>
      <c r="T900" s="309"/>
      <c r="U900" s="309"/>
      <c r="V900" s="309"/>
      <c r="W900" s="309"/>
      <c r="X900" s="309"/>
      <c r="Y900" s="309"/>
      <c r="Z900" s="309"/>
      <c r="AA900" s="309"/>
      <c r="AB900" s="309"/>
      <c r="AC900" s="309"/>
    </row>
    <row r="901" spans="1:29" ht="12.75" customHeight="1">
      <c r="A901" s="309"/>
      <c r="B901" s="309"/>
      <c r="C901" s="309"/>
      <c r="D901" s="309"/>
      <c r="E901" s="309"/>
      <c r="F901" s="309"/>
      <c r="G901" s="309"/>
      <c r="H901" s="309"/>
      <c r="I901" s="309"/>
      <c r="J901" s="309"/>
      <c r="K901" s="310"/>
      <c r="L901" s="309"/>
      <c r="M901" s="309"/>
      <c r="N901" s="309"/>
      <c r="O901" s="309"/>
      <c r="P901" s="309"/>
      <c r="Q901" s="309"/>
      <c r="R901" s="309"/>
      <c r="S901" s="309"/>
      <c r="T901" s="309"/>
      <c r="U901" s="309"/>
      <c r="V901" s="309"/>
      <c r="W901" s="309"/>
      <c r="X901" s="309"/>
      <c r="Y901" s="309"/>
      <c r="Z901" s="309"/>
      <c r="AA901" s="309"/>
      <c r="AB901" s="309"/>
      <c r="AC901" s="309"/>
    </row>
    <row r="902" spans="1:29" ht="12.75" customHeight="1">
      <c r="A902" s="309"/>
      <c r="B902" s="309"/>
      <c r="C902" s="309"/>
      <c r="D902" s="309"/>
      <c r="E902" s="309"/>
      <c r="F902" s="309"/>
      <c r="G902" s="309"/>
      <c r="H902" s="309"/>
      <c r="I902" s="309"/>
      <c r="J902" s="309"/>
      <c r="K902" s="310"/>
      <c r="L902" s="309"/>
      <c r="M902" s="309"/>
      <c r="N902" s="309"/>
      <c r="O902" s="309"/>
      <c r="P902" s="309"/>
      <c r="Q902" s="309"/>
      <c r="R902" s="309"/>
      <c r="S902" s="309"/>
      <c r="T902" s="309"/>
      <c r="U902" s="309"/>
      <c r="V902" s="309"/>
      <c r="W902" s="309"/>
      <c r="X902" s="309"/>
      <c r="Y902" s="309"/>
      <c r="Z902" s="309"/>
      <c r="AA902" s="309"/>
      <c r="AB902" s="309"/>
      <c r="AC902" s="309"/>
    </row>
    <row r="903" spans="1:29" ht="12.75" customHeight="1">
      <c r="A903" s="309"/>
      <c r="B903" s="309"/>
      <c r="C903" s="309"/>
      <c r="D903" s="309"/>
      <c r="E903" s="309"/>
      <c r="F903" s="309"/>
      <c r="G903" s="309"/>
      <c r="H903" s="309"/>
      <c r="I903" s="309"/>
      <c r="J903" s="309"/>
      <c r="K903" s="310"/>
      <c r="L903" s="309"/>
      <c r="M903" s="309"/>
      <c r="N903" s="309"/>
      <c r="O903" s="309"/>
      <c r="P903" s="309"/>
      <c r="Q903" s="309"/>
      <c r="R903" s="309"/>
      <c r="S903" s="309"/>
      <c r="T903" s="309"/>
      <c r="U903" s="309"/>
      <c r="V903" s="309"/>
      <c r="W903" s="309"/>
      <c r="X903" s="309"/>
      <c r="Y903" s="309"/>
      <c r="Z903" s="309"/>
      <c r="AA903" s="309"/>
      <c r="AB903" s="309"/>
      <c r="AC903" s="309"/>
    </row>
    <row r="904" spans="1:29" ht="12.75" customHeight="1">
      <c r="A904" s="309"/>
      <c r="B904" s="309"/>
      <c r="C904" s="309"/>
      <c r="D904" s="309"/>
      <c r="E904" s="309"/>
      <c r="F904" s="309"/>
      <c r="G904" s="309"/>
      <c r="H904" s="309"/>
      <c r="I904" s="309"/>
      <c r="J904" s="309"/>
      <c r="K904" s="310"/>
      <c r="L904" s="309"/>
      <c r="M904" s="309"/>
      <c r="N904" s="309"/>
      <c r="O904" s="309"/>
      <c r="P904" s="309"/>
      <c r="Q904" s="309"/>
      <c r="R904" s="309"/>
      <c r="S904" s="309"/>
      <c r="T904" s="309"/>
      <c r="U904" s="309"/>
      <c r="V904" s="309"/>
      <c r="W904" s="309"/>
      <c r="X904" s="309"/>
      <c r="Y904" s="309"/>
      <c r="Z904" s="309"/>
      <c r="AA904" s="309"/>
      <c r="AB904" s="309"/>
      <c r="AC904" s="309"/>
    </row>
    <row r="905" spans="1:29" ht="12.75" customHeight="1">
      <c r="A905" s="309"/>
      <c r="B905" s="309"/>
      <c r="C905" s="309"/>
      <c r="D905" s="309"/>
      <c r="E905" s="309"/>
      <c r="F905" s="309"/>
      <c r="G905" s="309"/>
      <c r="H905" s="309"/>
      <c r="I905" s="309"/>
      <c r="J905" s="309"/>
      <c r="K905" s="310"/>
      <c r="L905" s="309"/>
      <c r="M905" s="309"/>
      <c r="N905" s="309"/>
      <c r="O905" s="309"/>
      <c r="P905" s="309"/>
      <c r="Q905" s="309"/>
      <c r="R905" s="309"/>
      <c r="S905" s="309"/>
      <c r="T905" s="309"/>
      <c r="U905" s="309"/>
      <c r="V905" s="309"/>
      <c r="W905" s="309"/>
      <c r="X905" s="309"/>
      <c r="Y905" s="309"/>
      <c r="Z905" s="309"/>
      <c r="AA905" s="309"/>
      <c r="AB905" s="309"/>
      <c r="AC905" s="309"/>
    </row>
    <row r="906" spans="1:29" ht="12.75" customHeight="1">
      <c r="A906" s="309"/>
      <c r="B906" s="309"/>
      <c r="C906" s="309"/>
      <c r="D906" s="309"/>
      <c r="E906" s="309"/>
      <c r="F906" s="309"/>
      <c r="G906" s="309"/>
      <c r="H906" s="309"/>
      <c r="I906" s="309"/>
      <c r="J906" s="309"/>
      <c r="K906" s="310"/>
      <c r="L906" s="309"/>
      <c r="M906" s="309"/>
      <c r="N906" s="309"/>
      <c r="O906" s="309"/>
      <c r="P906" s="309"/>
      <c r="Q906" s="309"/>
      <c r="R906" s="309"/>
      <c r="S906" s="309"/>
      <c r="T906" s="309"/>
      <c r="U906" s="309"/>
      <c r="V906" s="309"/>
      <c r="W906" s="309"/>
      <c r="X906" s="309"/>
      <c r="Y906" s="309"/>
      <c r="Z906" s="309"/>
      <c r="AA906" s="309"/>
      <c r="AB906" s="309"/>
      <c r="AC906" s="309"/>
    </row>
    <row r="907" spans="1:29" ht="12.75" customHeight="1">
      <c r="A907" s="309"/>
      <c r="B907" s="309"/>
      <c r="C907" s="309"/>
      <c r="D907" s="309"/>
      <c r="E907" s="309"/>
      <c r="F907" s="309"/>
      <c r="G907" s="309"/>
      <c r="H907" s="309"/>
      <c r="I907" s="309"/>
      <c r="J907" s="309"/>
      <c r="K907" s="310"/>
      <c r="L907" s="309"/>
      <c r="M907" s="309"/>
      <c r="N907" s="309"/>
      <c r="O907" s="309"/>
      <c r="P907" s="309"/>
      <c r="Q907" s="309"/>
      <c r="R907" s="309"/>
      <c r="S907" s="309"/>
      <c r="T907" s="309"/>
      <c r="U907" s="309"/>
      <c r="V907" s="309"/>
      <c r="W907" s="309"/>
      <c r="X907" s="309"/>
      <c r="Y907" s="309"/>
      <c r="Z907" s="309"/>
      <c r="AA907" s="309"/>
      <c r="AB907" s="309"/>
      <c r="AC907" s="309"/>
    </row>
    <row r="908" spans="1:29" ht="12.75" customHeight="1">
      <c r="A908" s="309"/>
      <c r="B908" s="309"/>
      <c r="C908" s="309"/>
      <c r="D908" s="309"/>
      <c r="E908" s="309"/>
      <c r="F908" s="309"/>
      <c r="G908" s="309"/>
      <c r="H908" s="309"/>
      <c r="I908" s="309"/>
      <c r="J908" s="309"/>
      <c r="K908" s="310"/>
      <c r="L908" s="309"/>
      <c r="M908" s="309"/>
      <c r="N908" s="309"/>
      <c r="O908" s="309"/>
      <c r="P908" s="309"/>
      <c r="Q908" s="309"/>
      <c r="R908" s="309"/>
      <c r="S908" s="309"/>
      <c r="T908" s="309"/>
      <c r="U908" s="309"/>
      <c r="V908" s="309"/>
      <c r="W908" s="309"/>
      <c r="X908" s="309"/>
      <c r="Y908" s="309"/>
      <c r="Z908" s="309"/>
      <c r="AA908" s="309"/>
      <c r="AB908" s="309"/>
      <c r="AC908" s="309"/>
    </row>
    <row r="909" spans="1:29" ht="12.75" customHeight="1">
      <c r="A909" s="309"/>
      <c r="B909" s="309"/>
      <c r="C909" s="309"/>
      <c r="D909" s="309"/>
      <c r="E909" s="309"/>
      <c r="F909" s="309"/>
      <c r="G909" s="309"/>
      <c r="H909" s="309"/>
      <c r="I909" s="309"/>
      <c r="J909" s="309"/>
      <c r="K909" s="310"/>
      <c r="L909" s="309"/>
      <c r="M909" s="309"/>
      <c r="N909" s="309"/>
      <c r="O909" s="309"/>
      <c r="P909" s="309"/>
      <c r="Q909" s="309"/>
      <c r="R909" s="309"/>
      <c r="S909" s="309"/>
      <c r="T909" s="309"/>
      <c r="U909" s="309"/>
      <c r="V909" s="309"/>
      <c r="W909" s="309"/>
      <c r="X909" s="309"/>
      <c r="Y909" s="309"/>
      <c r="Z909" s="309"/>
      <c r="AA909" s="309"/>
      <c r="AB909" s="309"/>
      <c r="AC909" s="309"/>
    </row>
    <row r="910" spans="1:29" ht="12.75" customHeight="1">
      <c r="A910" s="309"/>
      <c r="B910" s="309"/>
      <c r="C910" s="309"/>
      <c r="D910" s="309"/>
      <c r="E910" s="309"/>
      <c r="F910" s="309"/>
      <c r="G910" s="309"/>
      <c r="H910" s="309"/>
      <c r="I910" s="309"/>
      <c r="J910" s="309"/>
      <c r="K910" s="310"/>
      <c r="L910" s="309"/>
      <c r="M910" s="309"/>
      <c r="N910" s="309"/>
      <c r="O910" s="309"/>
      <c r="P910" s="309"/>
      <c r="Q910" s="309"/>
      <c r="R910" s="309"/>
      <c r="S910" s="309"/>
      <c r="T910" s="309"/>
      <c r="U910" s="309"/>
      <c r="V910" s="309"/>
      <c r="W910" s="309"/>
      <c r="X910" s="309"/>
      <c r="Y910" s="309"/>
      <c r="Z910" s="309"/>
      <c r="AA910" s="309"/>
      <c r="AB910" s="309"/>
      <c r="AC910" s="309"/>
    </row>
    <row r="911" spans="1:29" ht="12.75" customHeight="1">
      <c r="A911" s="309"/>
      <c r="B911" s="309"/>
      <c r="C911" s="309"/>
      <c r="D911" s="309"/>
      <c r="E911" s="309"/>
      <c r="F911" s="309"/>
      <c r="G911" s="309"/>
      <c r="H911" s="309"/>
      <c r="I911" s="309"/>
      <c r="J911" s="309"/>
      <c r="K911" s="310"/>
      <c r="L911" s="309"/>
      <c r="M911" s="309"/>
      <c r="N911" s="309"/>
      <c r="O911" s="309"/>
      <c r="P911" s="309"/>
      <c r="Q911" s="309"/>
      <c r="R911" s="309"/>
      <c r="S911" s="309"/>
      <c r="T911" s="309"/>
      <c r="U911" s="309"/>
      <c r="V911" s="309"/>
      <c r="W911" s="309"/>
      <c r="X911" s="309"/>
      <c r="Y911" s="309"/>
      <c r="Z911" s="309"/>
      <c r="AA911" s="309"/>
      <c r="AB911" s="309"/>
      <c r="AC911" s="309"/>
    </row>
    <row r="912" spans="1:29" ht="12.75" customHeight="1">
      <c r="A912" s="309"/>
      <c r="B912" s="309"/>
      <c r="C912" s="309"/>
      <c r="D912" s="309"/>
      <c r="E912" s="309"/>
      <c r="F912" s="309"/>
      <c r="G912" s="309"/>
      <c r="H912" s="309"/>
      <c r="I912" s="309"/>
      <c r="J912" s="309"/>
      <c r="K912" s="310"/>
      <c r="L912" s="309"/>
      <c r="M912" s="309"/>
      <c r="N912" s="309"/>
      <c r="O912" s="309"/>
      <c r="P912" s="309"/>
      <c r="Q912" s="309"/>
      <c r="R912" s="309"/>
      <c r="S912" s="309"/>
      <c r="T912" s="309"/>
      <c r="U912" s="309"/>
      <c r="V912" s="309"/>
      <c r="W912" s="309"/>
      <c r="X912" s="309"/>
      <c r="Y912" s="309"/>
      <c r="Z912" s="309"/>
      <c r="AA912" s="309"/>
      <c r="AB912" s="309"/>
      <c r="AC912" s="309"/>
    </row>
    <row r="913" spans="1:29" ht="12.75" customHeight="1">
      <c r="A913" s="309"/>
      <c r="B913" s="309"/>
      <c r="C913" s="309"/>
      <c r="D913" s="309"/>
      <c r="E913" s="309"/>
      <c r="F913" s="309"/>
      <c r="G913" s="309"/>
      <c r="H913" s="309"/>
      <c r="I913" s="309"/>
      <c r="J913" s="309"/>
      <c r="K913" s="310"/>
      <c r="L913" s="309"/>
      <c r="M913" s="309"/>
      <c r="N913" s="309"/>
      <c r="O913" s="309"/>
      <c r="P913" s="309"/>
      <c r="Q913" s="309"/>
      <c r="R913" s="309"/>
      <c r="S913" s="309"/>
      <c r="T913" s="309"/>
      <c r="U913" s="309"/>
      <c r="V913" s="309"/>
      <c r="W913" s="309"/>
      <c r="X913" s="309"/>
      <c r="Y913" s="309"/>
      <c r="Z913" s="309"/>
      <c r="AA913" s="309"/>
      <c r="AB913" s="309"/>
      <c r="AC913" s="309"/>
    </row>
    <row r="914" spans="1:29" ht="12.75" customHeight="1">
      <c r="A914" s="309"/>
      <c r="B914" s="309"/>
      <c r="C914" s="309"/>
      <c r="D914" s="309"/>
      <c r="E914" s="309"/>
      <c r="F914" s="309"/>
      <c r="G914" s="309"/>
      <c r="H914" s="309"/>
      <c r="I914" s="309"/>
      <c r="J914" s="309"/>
      <c r="K914" s="310"/>
      <c r="L914" s="309"/>
      <c r="M914" s="309"/>
      <c r="N914" s="309"/>
      <c r="O914" s="309"/>
      <c r="P914" s="309"/>
      <c r="Q914" s="309"/>
      <c r="R914" s="309"/>
      <c r="S914" s="309"/>
      <c r="T914" s="309"/>
      <c r="U914" s="309"/>
      <c r="V914" s="309"/>
      <c r="W914" s="309"/>
      <c r="X914" s="309"/>
      <c r="Y914" s="309"/>
      <c r="Z914" s="309"/>
      <c r="AA914" s="309"/>
      <c r="AB914" s="309"/>
      <c r="AC914" s="309"/>
    </row>
    <row r="915" spans="1:29" ht="12.75" customHeight="1">
      <c r="A915" s="309"/>
      <c r="B915" s="309"/>
      <c r="C915" s="309"/>
      <c r="D915" s="309"/>
      <c r="E915" s="309"/>
      <c r="F915" s="309"/>
      <c r="G915" s="309"/>
      <c r="H915" s="309"/>
      <c r="I915" s="309"/>
      <c r="J915" s="309"/>
      <c r="K915" s="310"/>
      <c r="L915" s="309"/>
      <c r="M915" s="309"/>
      <c r="N915" s="309"/>
      <c r="O915" s="309"/>
      <c r="P915" s="309"/>
      <c r="Q915" s="309"/>
      <c r="R915" s="309"/>
      <c r="S915" s="309"/>
      <c r="T915" s="309"/>
      <c r="U915" s="309"/>
      <c r="V915" s="309"/>
      <c r="W915" s="309"/>
      <c r="X915" s="309"/>
      <c r="Y915" s="309"/>
      <c r="Z915" s="309"/>
      <c r="AA915" s="309"/>
      <c r="AB915" s="309"/>
      <c r="AC915" s="309"/>
    </row>
    <row r="916" spans="1:29" ht="12.75" customHeight="1">
      <c r="A916" s="309"/>
      <c r="B916" s="309"/>
      <c r="C916" s="309"/>
      <c r="D916" s="309"/>
      <c r="E916" s="309"/>
      <c r="F916" s="309"/>
      <c r="G916" s="309"/>
      <c r="H916" s="309"/>
      <c r="I916" s="309"/>
      <c r="J916" s="309"/>
      <c r="K916" s="310"/>
      <c r="L916" s="309"/>
      <c r="M916" s="309"/>
      <c r="N916" s="309"/>
      <c r="O916" s="309"/>
      <c r="P916" s="309"/>
      <c r="Q916" s="309"/>
      <c r="R916" s="309"/>
      <c r="S916" s="309"/>
      <c r="T916" s="309"/>
      <c r="U916" s="309"/>
      <c r="V916" s="309"/>
      <c r="W916" s="309"/>
      <c r="X916" s="309"/>
      <c r="Y916" s="309"/>
      <c r="Z916" s="309"/>
      <c r="AA916" s="309"/>
      <c r="AB916" s="309"/>
      <c r="AC916" s="309"/>
    </row>
    <row r="917" spans="1:29" ht="12.75" customHeight="1">
      <c r="A917" s="309"/>
      <c r="B917" s="309"/>
      <c r="C917" s="309"/>
      <c r="D917" s="309"/>
      <c r="E917" s="309"/>
      <c r="F917" s="309"/>
      <c r="G917" s="309"/>
      <c r="H917" s="309"/>
      <c r="I917" s="309"/>
      <c r="J917" s="309"/>
      <c r="K917" s="310"/>
      <c r="L917" s="309"/>
      <c r="M917" s="309"/>
      <c r="N917" s="309"/>
      <c r="O917" s="309"/>
      <c r="P917" s="309"/>
      <c r="Q917" s="309"/>
      <c r="R917" s="309"/>
      <c r="S917" s="309"/>
      <c r="T917" s="309"/>
      <c r="U917" s="309"/>
      <c r="V917" s="309"/>
      <c r="W917" s="309"/>
      <c r="X917" s="309"/>
      <c r="Y917" s="309"/>
      <c r="Z917" s="309"/>
      <c r="AA917" s="309"/>
      <c r="AB917" s="309"/>
      <c r="AC917" s="309"/>
    </row>
    <row r="918" spans="1:29" ht="12.75" customHeight="1">
      <c r="A918" s="309"/>
      <c r="B918" s="309"/>
      <c r="C918" s="309"/>
      <c r="D918" s="309"/>
      <c r="E918" s="309"/>
      <c r="F918" s="309"/>
      <c r="G918" s="309"/>
      <c r="H918" s="309"/>
      <c r="I918" s="309"/>
      <c r="J918" s="309"/>
      <c r="K918" s="310"/>
      <c r="L918" s="309"/>
      <c r="M918" s="309"/>
      <c r="N918" s="309"/>
      <c r="O918" s="309"/>
      <c r="P918" s="309"/>
      <c r="Q918" s="309"/>
      <c r="R918" s="309"/>
      <c r="S918" s="309"/>
      <c r="T918" s="309"/>
      <c r="U918" s="309"/>
      <c r="V918" s="309"/>
      <c r="W918" s="309"/>
      <c r="X918" s="309"/>
      <c r="Y918" s="309"/>
      <c r="Z918" s="309"/>
      <c r="AA918" s="309"/>
      <c r="AB918" s="309"/>
      <c r="AC918" s="309"/>
    </row>
    <row r="919" spans="1:29" ht="12.75" customHeight="1">
      <c r="A919" s="309"/>
      <c r="B919" s="309"/>
      <c r="C919" s="309"/>
      <c r="D919" s="309"/>
      <c r="E919" s="309"/>
      <c r="F919" s="309"/>
      <c r="G919" s="309"/>
      <c r="H919" s="309"/>
      <c r="I919" s="309"/>
      <c r="J919" s="309"/>
      <c r="K919" s="310"/>
      <c r="L919" s="309"/>
      <c r="M919" s="309"/>
      <c r="N919" s="309"/>
      <c r="O919" s="309"/>
      <c r="P919" s="309"/>
      <c r="Q919" s="309"/>
      <c r="R919" s="309"/>
      <c r="S919" s="309"/>
      <c r="T919" s="309"/>
      <c r="U919" s="309"/>
      <c r="V919" s="309"/>
      <c r="W919" s="309"/>
      <c r="X919" s="309"/>
      <c r="Y919" s="309"/>
      <c r="Z919" s="309"/>
      <c r="AA919" s="309"/>
      <c r="AB919" s="309"/>
      <c r="AC919" s="309"/>
    </row>
    <row r="920" spans="1:29" ht="12.75" customHeight="1">
      <c r="A920" s="309"/>
      <c r="B920" s="309"/>
      <c r="C920" s="309"/>
      <c r="D920" s="309"/>
      <c r="E920" s="309"/>
      <c r="F920" s="309"/>
      <c r="G920" s="309"/>
      <c r="H920" s="309"/>
      <c r="I920" s="309"/>
      <c r="J920" s="309"/>
      <c r="K920" s="310"/>
      <c r="L920" s="309"/>
      <c r="M920" s="309"/>
      <c r="N920" s="309"/>
      <c r="O920" s="309"/>
      <c r="P920" s="309"/>
      <c r="Q920" s="309"/>
      <c r="R920" s="309"/>
      <c r="S920" s="309"/>
      <c r="T920" s="309"/>
      <c r="U920" s="309"/>
      <c r="V920" s="309"/>
      <c r="W920" s="309"/>
      <c r="X920" s="309"/>
      <c r="Y920" s="309"/>
      <c r="Z920" s="309"/>
      <c r="AA920" s="309"/>
      <c r="AB920" s="309"/>
      <c r="AC920" s="309"/>
    </row>
    <row r="921" spans="1:29" ht="12.75" customHeight="1">
      <c r="A921" s="309"/>
      <c r="B921" s="309"/>
      <c r="C921" s="309"/>
      <c r="D921" s="309"/>
      <c r="E921" s="309"/>
      <c r="F921" s="309"/>
      <c r="G921" s="309"/>
      <c r="H921" s="309"/>
      <c r="I921" s="309"/>
      <c r="J921" s="309"/>
      <c r="K921" s="310"/>
      <c r="L921" s="309"/>
      <c r="M921" s="309"/>
      <c r="N921" s="309"/>
      <c r="O921" s="309"/>
      <c r="P921" s="309"/>
      <c r="Q921" s="309"/>
      <c r="R921" s="309"/>
      <c r="S921" s="309"/>
      <c r="T921" s="309"/>
      <c r="U921" s="309"/>
      <c r="V921" s="309"/>
      <c r="W921" s="309"/>
      <c r="X921" s="309"/>
      <c r="Y921" s="309"/>
      <c r="Z921" s="309"/>
      <c r="AA921" s="309"/>
      <c r="AB921" s="309"/>
      <c r="AC921" s="309"/>
    </row>
    <row r="922" spans="1:29" ht="12.75" customHeight="1">
      <c r="A922" s="309"/>
      <c r="B922" s="309"/>
      <c r="C922" s="309"/>
      <c r="D922" s="309"/>
      <c r="E922" s="309"/>
      <c r="F922" s="309"/>
      <c r="G922" s="309"/>
      <c r="H922" s="309"/>
      <c r="I922" s="309"/>
      <c r="J922" s="309"/>
      <c r="K922" s="310"/>
      <c r="L922" s="309"/>
      <c r="M922" s="309"/>
      <c r="N922" s="309"/>
      <c r="O922" s="309"/>
      <c r="P922" s="309"/>
      <c r="Q922" s="309"/>
      <c r="R922" s="309"/>
      <c r="S922" s="309"/>
      <c r="T922" s="309"/>
      <c r="U922" s="309"/>
      <c r="V922" s="309"/>
      <c r="W922" s="309"/>
      <c r="X922" s="309"/>
      <c r="Y922" s="309"/>
      <c r="Z922" s="309"/>
      <c r="AA922" s="309"/>
      <c r="AB922" s="309"/>
      <c r="AC922" s="309"/>
    </row>
    <row r="923" spans="1:29" ht="12.75" customHeight="1">
      <c r="A923" s="309"/>
      <c r="B923" s="309"/>
      <c r="C923" s="309"/>
      <c r="D923" s="309"/>
      <c r="E923" s="309"/>
      <c r="F923" s="309"/>
      <c r="G923" s="309"/>
      <c r="H923" s="309"/>
      <c r="I923" s="309"/>
      <c r="J923" s="309"/>
      <c r="K923" s="310"/>
      <c r="L923" s="309"/>
      <c r="M923" s="309"/>
      <c r="N923" s="309"/>
      <c r="O923" s="309"/>
      <c r="P923" s="309"/>
      <c r="Q923" s="309"/>
      <c r="R923" s="309"/>
      <c r="S923" s="309"/>
      <c r="T923" s="309"/>
      <c r="U923" s="309"/>
      <c r="V923" s="309"/>
      <c r="W923" s="309"/>
      <c r="X923" s="309"/>
      <c r="Y923" s="309"/>
      <c r="Z923" s="309"/>
      <c r="AA923" s="309"/>
      <c r="AB923" s="309"/>
      <c r="AC923" s="309"/>
    </row>
    <row r="924" spans="1:29" ht="12.75" customHeight="1">
      <c r="A924" s="309"/>
      <c r="B924" s="309"/>
      <c r="C924" s="309"/>
      <c r="D924" s="309"/>
      <c r="E924" s="309"/>
      <c r="F924" s="309"/>
      <c r="G924" s="309"/>
      <c r="H924" s="309"/>
      <c r="I924" s="309"/>
      <c r="J924" s="309"/>
      <c r="K924" s="310"/>
      <c r="L924" s="309"/>
      <c r="M924" s="309"/>
      <c r="N924" s="309"/>
      <c r="O924" s="309"/>
      <c r="P924" s="309"/>
      <c r="Q924" s="309"/>
      <c r="R924" s="309"/>
      <c r="S924" s="309"/>
      <c r="T924" s="309"/>
      <c r="U924" s="309"/>
      <c r="V924" s="309"/>
      <c r="W924" s="309"/>
      <c r="X924" s="309"/>
      <c r="Y924" s="309"/>
      <c r="Z924" s="309"/>
      <c r="AA924" s="309"/>
      <c r="AB924" s="309"/>
      <c r="AC924" s="309"/>
    </row>
    <row r="925" spans="1:29" ht="12.75" customHeight="1">
      <c r="A925" s="309"/>
      <c r="B925" s="309"/>
      <c r="C925" s="309"/>
      <c r="D925" s="309"/>
      <c r="E925" s="309"/>
      <c r="F925" s="309"/>
      <c r="G925" s="309"/>
      <c r="H925" s="309"/>
      <c r="I925" s="309"/>
      <c r="J925" s="309"/>
      <c r="K925" s="310"/>
      <c r="L925" s="309"/>
      <c r="M925" s="309"/>
      <c r="N925" s="309"/>
      <c r="O925" s="309"/>
      <c r="P925" s="309"/>
      <c r="Q925" s="309"/>
      <c r="R925" s="309"/>
      <c r="S925" s="309"/>
      <c r="T925" s="309"/>
      <c r="U925" s="309"/>
      <c r="V925" s="309"/>
      <c r="W925" s="309"/>
      <c r="X925" s="309"/>
      <c r="Y925" s="309"/>
      <c r="Z925" s="309"/>
      <c r="AA925" s="309"/>
      <c r="AB925" s="309"/>
      <c r="AC925" s="309"/>
    </row>
    <row r="926" spans="1:29" ht="12.75" customHeight="1">
      <c r="A926" s="309"/>
      <c r="B926" s="309"/>
      <c r="C926" s="309"/>
      <c r="D926" s="309"/>
      <c r="E926" s="309"/>
      <c r="F926" s="309"/>
      <c r="G926" s="309"/>
      <c r="H926" s="309"/>
      <c r="I926" s="309"/>
      <c r="J926" s="309"/>
      <c r="K926" s="310"/>
      <c r="L926" s="309"/>
      <c r="M926" s="309"/>
      <c r="N926" s="309"/>
      <c r="O926" s="309"/>
      <c r="P926" s="309"/>
      <c r="Q926" s="309"/>
      <c r="R926" s="309"/>
      <c r="S926" s="309"/>
      <c r="T926" s="309"/>
      <c r="U926" s="309"/>
      <c r="V926" s="309"/>
      <c r="W926" s="309"/>
      <c r="X926" s="309"/>
      <c r="Y926" s="309"/>
      <c r="Z926" s="309"/>
      <c r="AA926" s="309"/>
      <c r="AB926" s="309"/>
      <c r="AC926" s="309"/>
    </row>
    <row r="927" spans="1:29" ht="12.75" customHeight="1">
      <c r="A927" s="309"/>
      <c r="B927" s="309"/>
      <c r="C927" s="309"/>
      <c r="D927" s="309"/>
      <c r="E927" s="309"/>
      <c r="F927" s="309"/>
      <c r="G927" s="309"/>
      <c r="H927" s="309"/>
      <c r="I927" s="309"/>
      <c r="J927" s="309"/>
      <c r="K927" s="310"/>
      <c r="L927" s="309"/>
      <c r="M927" s="309"/>
      <c r="N927" s="309"/>
      <c r="O927" s="309"/>
      <c r="P927" s="309"/>
      <c r="Q927" s="309"/>
      <c r="R927" s="309"/>
      <c r="S927" s="309"/>
      <c r="T927" s="309"/>
      <c r="U927" s="309"/>
      <c r="V927" s="309"/>
      <c r="W927" s="309"/>
      <c r="X927" s="309"/>
      <c r="Y927" s="309"/>
      <c r="Z927" s="309"/>
      <c r="AA927" s="309"/>
      <c r="AB927" s="309"/>
      <c r="AC927" s="309"/>
    </row>
    <row r="928" spans="1:29" ht="12.75" customHeight="1">
      <c r="A928" s="309"/>
      <c r="B928" s="309"/>
      <c r="C928" s="309"/>
      <c r="D928" s="309"/>
      <c r="E928" s="309"/>
      <c r="F928" s="309"/>
      <c r="G928" s="309"/>
      <c r="H928" s="309"/>
      <c r="I928" s="309"/>
      <c r="J928" s="309"/>
      <c r="K928" s="310"/>
      <c r="L928" s="309"/>
      <c r="M928" s="309"/>
      <c r="N928" s="309"/>
      <c r="O928" s="309"/>
      <c r="P928" s="309"/>
      <c r="Q928" s="309"/>
      <c r="R928" s="309"/>
      <c r="S928" s="309"/>
      <c r="T928" s="309"/>
      <c r="U928" s="309"/>
      <c r="V928" s="309"/>
      <c r="W928" s="309"/>
      <c r="X928" s="309"/>
      <c r="Y928" s="309"/>
      <c r="Z928" s="309"/>
      <c r="AA928" s="309"/>
      <c r="AB928" s="309"/>
      <c r="AC928" s="309"/>
    </row>
    <row r="929" spans="1:29" ht="12.75" customHeight="1">
      <c r="A929" s="309"/>
      <c r="B929" s="309"/>
      <c r="C929" s="309"/>
      <c r="D929" s="309"/>
      <c r="E929" s="309"/>
      <c r="F929" s="309"/>
      <c r="G929" s="309"/>
      <c r="H929" s="309"/>
      <c r="I929" s="309"/>
      <c r="J929" s="309"/>
      <c r="K929" s="310"/>
      <c r="L929" s="309"/>
      <c r="M929" s="309"/>
      <c r="N929" s="309"/>
      <c r="O929" s="309"/>
      <c r="P929" s="309"/>
      <c r="Q929" s="309"/>
      <c r="R929" s="309"/>
      <c r="S929" s="309"/>
      <c r="T929" s="309"/>
      <c r="U929" s="309"/>
      <c r="V929" s="309"/>
      <c r="W929" s="309"/>
      <c r="X929" s="309"/>
      <c r="Y929" s="309"/>
      <c r="Z929" s="309"/>
      <c r="AA929" s="309"/>
      <c r="AB929" s="309"/>
      <c r="AC929" s="309"/>
    </row>
    <row r="930" spans="1:29" ht="12.75" customHeight="1">
      <c r="A930" s="309"/>
      <c r="B930" s="309"/>
      <c r="C930" s="309"/>
      <c r="D930" s="309"/>
      <c r="E930" s="309"/>
      <c r="F930" s="309"/>
      <c r="G930" s="309"/>
      <c r="H930" s="309"/>
      <c r="I930" s="309"/>
      <c r="J930" s="309"/>
      <c r="K930" s="310"/>
      <c r="L930" s="309"/>
      <c r="M930" s="309"/>
      <c r="N930" s="309"/>
      <c r="O930" s="309"/>
      <c r="P930" s="309"/>
      <c r="Q930" s="309"/>
      <c r="R930" s="309"/>
      <c r="S930" s="309"/>
      <c r="T930" s="309"/>
      <c r="U930" s="309"/>
      <c r="V930" s="309"/>
      <c r="W930" s="309"/>
      <c r="X930" s="309"/>
      <c r="Y930" s="309"/>
      <c r="Z930" s="309"/>
      <c r="AA930" s="309"/>
      <c r="AB930" s="309"/>
      <c r="AC930" s="309"/>
    </row>
    <row r="931" spans="1:29" ht="12.75" customHeight="1">
      <c r="A931" s="309"/>
      <c r="B931" s="309"/>
      <c r="C931" s="309"/>
      <c r="D931" s="309"/>
      <c r="E931" s="309"/>
      <c r="F931" s="309"/>
      <c r="G931" s="309"/>
      <c r="H931" s="309"/>
      <c r="I931" s="309"/>
      <c r="J931" s="309"/>
      <c r="K931" s="310"/>
      <c r="L931" s="309"/>
      <c r="M931" s="309"/>
      <c r="N931" s="309"/>
      <c r="O931" s="309"/>
      <c r="P931" s="309"/>
      <c r="Q931" s="309"/>
      <c r="R931" s="309"/>
      <c r="S931" s="309"/>
      <c r="T931" s="309"/>
      <c r="U931" s="309"/>
      <c r="V931" s="309"/>
      <c r="W931" s="309"/>
      <c r="X931" s="309"/>
      <c r="Y931" s="309"/>
      <c r="Z931" s="309"/>
      <c r="AA931" s="309"/>
      <c r="AB931" s="309"/>
      <c r="AC931" s="309"/>
    </row>
    <row r="932" spans="1:29" ht="12.75" customHeight="1">
      <c r="A932" s="309"/>
      <c r="B932" s="309"/>
      <c r="C932" s="309"/>
      <c r="D932" s="309"/>
      <c r="E932" s="309"/>
      <c r="F932" s="309"/>
      <c r="G932" s="309"/>
      <c r="H932" s="309"/>
      <c r="I932" s="309"/>
      <c r="J932" s="309"/>
      <c r="K932" s="310"/>
      <c r="L932" s="309"/>
      <c r="M932" s="309"/>
      <c r="N932" s="309"/>
      <c r="O932" s="309"/>
      <c r="P932" s="309"/>
      <c r="Q932" s="309"/>
      <c r="R932" s="309"/>
      <c r="S932" s="309"/>
      <c r="T932" s="309"/>
      <c r="U932" s="309"/>
      <c r="V932" s="309"/>
      <c r="W932" s="309"/>
      <c r="X932" s="309"/>
      <c r="Y932" s="309"/>
      <c r="Z932" s="309"/>
      <c r="AA932" s="309"/>
      <c r="AB932" s="309"/>
      <c r="AC932" s="309"/>
    </row>
    <row r="933" spans="1:29" ht="12.75" customHeight="1">
      <c r="A933" s="309"/>
      <c r="B933" s="309"/>
      <c r="C933" s="309"/>
      <c r="D933" s="309"/>
      <c r="E933" s="309"/>
      <c r="F933" s="309"/>
      <c r="G933" s="309"/>
      <c r="H933" s="309"/>
      <c r="I933" s="309"/>
      <c r="J933" s="309"/>
      <c r="K933" s="310"/>
      <c r="L933" s="309"/>
      <c r="M933" s="309"/>
      <c r="N933" s="309"/>
      <c r="O933" s="309"/>
      <c r="P933" s="309"/>
      <c r="Q933" s="309"/>
      <c r="R933" s="309"/>
      <c r="S933" s="309"/>
      <c r="T933" s="309"/>
      <c r="U933" s="309"/>
      <c r="V933" s="309"/>
      <c r="W933" s="309"/>
      <c r="X933" s="309"/>
      <c r="Y933" s="309"/>
      <c r="Z933" s="309"/>
      <c r="AA933" s="309"/>
      <c r="AB933" s="309"/>
      <c r="AC933" s="309"/>
    </row>
    <row r="934" spans="1:29" ht="12.75" customHeight="1">
      <c r="A934" s="309"/>
      <c r="B934" s="309"/>
      <c r="C934" s="309"/>
      <c r="D934" s="309"/>
      <c r="E934" s="309"/>
      <c r="F934" s="309"/>
      <c r="G934" s="309"/>
      <c r="H934" s="309"/>
      <c r="I934" s="309"/>
      <c r="J934" s="309"/>
      <c r="K934" s="310"/>
      <c r="L934" s="309"/>
      <c r="M934" s="309"/>
      <c r="N934" s="309"/>
      <c r="O934" s="309"/>
      <c r="P934" s="309"/>
      <c r="Q934" s="309"/>
      <c r="R934" s="309"/>
      <c r="S934" s="309"/>
      <c r="T934" s="309"/>
      <c r="U934" s="309"/>
      <c r="V934" s="309"/>
      <c r="W934" s="309"/>
      <c r="X934" s="309"/>
      <c r="Y934" s="309"/>
      <c r="Z934" s="309"/>
      <c r="AA934" s="309"/>
      <c r="AB934" s="309"/>
      <c r="AC934" s="309"/>
    </row>
    <row r="935" spans="1:29" ht="12.75" customHeight="1">
      <c r="A935" s="309"/>
      <c r="B935" s="309"/>
      <c r="C935" s="309"/>
      <c r="D935" s="309"/>
      <c r="E935" s="309"/>
      <c r="F935" s="309"/>
      <c r="G935" s="309"/>
      <c r="H935" s="309"/>
      <c r="I935" s="309"/>
      <c r="J935" s="309"/>
      <c r="K935" s="310"/>
      <c r="L935" s="309"/>
      <c r="M935" s="309"/>
      <c r="N935" s="309"/>
      <c r="O935" s="309"/>
      <c r="P935" s="309"/>
      <c r="Q935" s="309"/>
      <c r="R935" s="309"/>
      <c r="S935" s="309"/>
      <c r="T935" s="309"/>
      <c r="U935" s="309"/>
      <c r="V935" s="309"/>
      <c r="W935" s="309"/>
      <c r="X935" s="309"/>
      <c r="Y935" s="309"/>
      <c r="Z935" s="309"/>
      <c r="AA935" s="309"/>
      <c r="AB935" s="309"/>
      <c r="AC935" s="309"/>
    </row>
    <row r="936" spans="1:29" ht="12.75" customHeight="1">
      <c r="A936" s="309"/>
      <c r="B936" s="309"/>
      <c r="C936" s="309"/>
      <c r="D936" s="309"/>
      <c r="E936" s="309"/>
      <c r="F936" s="309"/>
      <c r="G936" s="309"/>
      <c r="H936" s="309"/>
      <c r="I936" s="309"/>
      <c r="J936" s="309"/>
      <c r="K936" s="310"/>
      <c r="L936" s="309"/>
      <c r="M936" s="309"/>
      <c r="N936" s="309"/>
      <c r="O936" s="309"/>
      <c r="P936" s="309"/>
      <c r="Q936" s="309"/>
      <c r="R936" s="309"/>
      <c r="S936" s="309"/>
      <c r="T936" s="309"/>
      <c r="U936" s="309"/>
      <c r="V936" s="309"/>
      <c r="W936" s="309"/>
      <c r="X936" s="309"/>
      <c r="Y936" s="309"/>
      <c r="Z936" s="309"/>
      <c r="AA936" s="309"/>
      <c r="AB936" s="309"/>
      <c r="AC936" s="309"/>
    </row>
    <row r="937" spans="1:29" ht="12.75" customHeight="1">
      <c r="A937" s="309"/>
      <c r="B937" s="309"/>
      <c r="C937" s="309"/>
      <c r="D937" s="309"/>
      <c r="E937" s="309"/>
      <c r="F937" s="309"/>
      <c r="G937" s="309"/>
      <c r="H937" s="309"/>
      <c r="I937" s="309"/>
      <c r="J937" s="309"/>
      <c r="K937" s="310"/>
      <c r="L937" s="309"/>
      <c r="M937" s="309"/>
      <c r="N937" s="309"/>
      <c r="O937" s="309"/>
      <c r="P937" s="309"/>
      <c r="Q937" s="309"/>
      <c r="R937" s="309"/>
      <c r="S937" s="309"/>
      <c r="T937" s="309"/>
      <c r="U937" s="309"/>
      <c r="V937" s="309"/>
      <c r="W937" s="309"/>
      <c r="X937" s="309"/>
      <c r="Y937" s="309"/>
      <c r="Z937" s="309"/>
      <c r="AA937" s="309"/>
      <c r="AB937" s="309"/>
      <c r="AC937" s="309"/>
    </row>
    <row r="938" spans="1:29" ht="12.75" customHeight="1">
      <c r="A938" s="309"/>
      <c r="B938" s="309"/>
      <c r="C938" s="309"/>
      <c r="D938" s="309"/>
      <c r="E938" s="309"/>
      <c r="F938" s="309"/>
      <c r="G938" s="309"/>
      <c r="H938" s="309"/>
      <c r="I938" s="309"/>
      <c r="J938" s="309"/>
      <c r="K938" s="310"/>
      <c r="L938" s="309"/>
      <c r="M938" s="309"/>
      <c r="N938" s="309"/>
      <c r="O938" s="309"/>
      <c r="P938" s="309"/>
      <c r="Q938" s="309"/>
      <c r="R938" s="309"/>
      <c r="S938" s="309"/>
      <c r="T938" s="309"/>
      <c r="U938" s="309"/>
      <c r="V938" s="309"/>
      <c r="W938" s="309"/>
      <c r="X938" s="309"/>
      <c r="Y938" s="309"/>
      <c r="Z938" s="309"/>
      <c r="AA938" s="309"/>
      <c r="AB938" s="309"/>
      <c r="AC938" s="309"/>
    </row>
    <row r="939" spans="1:29" ht="12.75" customHeight="1">
      <c r="A939" s="309"/>
      <c r="B939" s="309"/>
      <c r="C939" s="309"/>
      <c r="D939" s="309"/>
      <c r="E939" s="309"/>
      <c r="F939" s="309"/>
      <c r="G939" s="309"/>
      <c r="H939" s="309"/>
      <c r="I939" s="309"/>
      <c r="J939" s="309"/>
      <c r="K939" s="310"/>
      <c r="L939" s="309"/>
      <c r="M939" s="309"/>
      <c r="N939" s="309"/>
      <c r="O939" s="309"/>
      <c r="P939" s="309"/>
      <c r="Q939" s="309"/>
      <c r="R939" s="309"/>
      <c r="S939" s="309"/>
      <c r="T939" s="309"/>
      <c r="U939" s="309"/>
      <c r="V939" s="309"/>
      <c r="W939" s="309"/>
      <c r="X939" s="309"/>
      <c r="Y939" s="309"/>
      <c r="Z939" s="309"/>
      <c r="AA939" s="309"/>
      <c r="AB939" s="309"/>
      <c r="AC939" s="309"/>
    </row>
    <row r="940" spans="1:29" ht="12.75" customHeight="1">
      <c r="A940" s="309"/>
      <c r="B940" s="309"/>
      <c r="C940" s="309"/>
      <c r="D940" s="309"/>
      <c r="E940" s="309"/>
      <c r="F940" s="309"/>
      <c r="G940" s="309"/>
      <c r="H940" s="309"/>
      <c r="I940" s="309"/>
      <c r="J940" s="309"/>
      <c r="K940" s="310"/>
      <c r="L940" s="309"/>
      <c r="M940" s="309"/>
      <c r="N940" s="309"/>
      <c r="O940" s="309"/>
      <c r="P940" s="309"/>
      <c r="Q940" s="309"/>
      <c r="R940" s="309"/>
      <c r="S940" s="309"/>
      <c r="T940" s="309"/>
      <c r="U940" s="309"/>
      <c r="V940" s="309"/>
      <c r="W940" s="309"/>
      <c r="X940" s="309"/>
      <c r="Y940" s="309"/>
      <c r="Z940" s="309"/>
      <c r="AA940" s="309"/>
      <c r="AB940" s="309"/>
      <c r="AC940" s="309"/>
    </row>
    <row r="941" spans="1:29" ht="12.75" customHeight="1">
      <c r="A941" s="309"/>
      <c r="B941" s="309"/>
      <c r="C941" s="309"/>
      <c r="D941" s="309"/>
      <c r="E941" s="309"/>
      <c r="F941" s="309"/>
      <c r="G941" s="309"/>
      <c r="H941" s="309"/>
      <c r="I941" s="309"/>
      <c r="J941" s="309"/>
      <c r="K941" s="310"/>
      <c r="L941" s="309"/>
      <c r="M941" s="309"/>
      <c r="N941" s="309"/>
      <c r="O941" s="309"/>
      <c r="P941" s="309"/>
      <c r="Q941" s="309"/>
      <c r="R941" s="309"/>
      <c r="S941" s="309"/>
      <c r="T941" s="309"/>
      <c r="U941" s="309"/>
      <c r="V941" s="309"/>
      <c r="W941" s="309"/>
      <c r="X941" s="309"/>
      <c r="Y941" s="309"/>
      <c r="Z941" s="309"/>
      <c r="AA941" s="309"/>
      <c r="AB941" s="309"/>
      <c r="AC941" s="309"/>
    </row>
    <row r="942" spans="1:29" ht="12.75" customHeight="1">
      <c r="A942" s="309"/>
      <c r="B942" s="309"/>
      <c r="C942" s="309"/>
      <c r="D942" s="309"/>
      <c r="E942" s="309"/>
      <c r="F942" s="309"/>
      <c r="G942" s="309"/>
      <c r="H942" s="309"/>
      <c r="I942" s="309"/>
      <c r="J942" s="309"/>
      <c r="K942" s="310"/>
      <c r="L942" s="309"/>
      <c r="M942" s="309"/>
      <c r="N942" s="309"/>
      <c r="O942" s="309"/>
      <c r="P942" s="309"/>
      <c r="Q942" s="309"/>
      <c r="R942" s="309"/>
      <c r="S942" s="309"/>
      <c r="T942" s="309"/>
      <c r="U942" s="309"/>
      <c r="V942" s="309"/>
      <c r="W942" s="309"/>
      <c r="X942" s="309"/>
      <c r="Y942" s="309"/>
      <c r="Z942" s="309"/>
      <c r="AA942" s="309"/>
      <c r="AB942" s="309"/>
      <c r="AC942" s="309"/>
    </row>
    <row r="943" spans="1:29" ht="12.75" customHeight="1">
      <c r="A943" s="309"/>
      <c r="B943" s="309"/>
      <c r="C943" s="309"/>
      <c r="D943" s="309"/>
      <c r="E943" s="309"/>
      <c r="F943" s="309"/>
      <c r="G943" s="309"/>
      <c r="H943" s="309"/>
      <c r="I943" s="309"/>
      <c r="J943" s="309"/>
      <c r="K943" s="310"/>
      <c r="L943" s="309"/>
      <c r="M943" s="309"/>
      <c r="N943" s="309"/>
      <c r="O943" s="309"/>
      <c r="P943" s="309"/>
      <c r="Q943" s="309"/>
      <c r="R943" s="309"/>
      <c r="S943" s="309"/>
      <c r="T943" s="309"/>
      <c r="U943" s="309"/>
      <c r="V943" s="309"/>
      <c r="W943" s="309"/>
      <c r="X943" s="309"/>
      <c r="Y943" s="309"/>
      <c r="Z943" s="309"/>
      <c r="AA943" s="309"/>
      <c r="AB943" s="309"/>
      <c r="AC943" s="309"/>
    </row>
    <row r="944" spans="1:29" ht="12.75" customHeight="1">
      <c r="A944" s="309"/>
      <c r="B944" s="309"/>
      <c r="C944" s="309"/>
      <c r="D944" s="309"/>
      <c r="E944" s="309"/>
      <c r="F944" s="309"/>
      <c r="G944" s="309"/>
      <c r="H944" s="309"/>
      <c r="I944" s="309"/>
      <c r="J944" s="309"/>
      <c r="K944" s="310"/>
      <c r="L944" s="309"/>
      <c r="M944" s="309"/>
      <c r="N944" s="309"/>
      <c r="O944" s="309"/>
      <c r="P944" s="309"/>
      <c r="Q944" s="309"/>
      <c r="R944" s="309"/>
      <c r="S944" s="309"/>
      <c r="T944" s="309"/>
      <c r="U944" s="309"/>
      <c r="V944" s="309"/>
      <c r="W944" s="309"/>
      <c r="X944" s="309"/>
      <c r="Y944" s="309"/>
      <c r="Z944" s="309"/>
      <c r="AA944" s="309"/>
      <c r="AB944" s="309"/>
      <c r="AC944" s="309"/>
    </row>
    <row r="945" spans="1:29" ht="12.75" customHeight="1">
      <c r="A945" s="309"/>
      <c r="B945" s="309"/>
      <c r="C945" s="309"/>
      <c r="D945" s="309"/>
      <c r="E945" s="309"/>
      <c r="F945" s="309"/>
      <c r="G945" s="309"/>
      <c r="H945" s="309"/>
      <c r="I945" s="309"/>
      <c r="J945" s="309"/>
      <c r="K945" s="310"/>
      <c r="L945" s="309"/>
      <c r="M945" s="309"/>
      <c r="N945" s="309"/>
      <c r="O945" s="309"/>
      <c r="P945" s="309"/>
      <c r="Q945" s="309"/>
      <c r="R945" s="309"/>
      <c r="S945" s="309"/>
      <c r="T945" s="309"/>
      <c r="U945" s="309"/>
      <c r="V945" s="309"/>
      <c r="W945" s="309"/>
      <c r="X945" s="309"/>
      <c r="Y945" s="309"/>
      <c r="Z945" s="309"/>
      <c r="AA945" s="309"/>
      <c r="AB945" s="309"/>
      <c r="AC945" s="309"/>
    </row>
    <row r="946" spans="1:29" ht="12.75" customHeight="1">
      <c r="A946" s="309"/>
      <c r="B946" s="309"/>
      <c r="C946" s="309"/>
      <c r="D946" s="309"/>
      <c r="E946" s="309"/>
      <c r="F946" s="309"/>
      <c r="G946" s="309"/>
      <c r="H946" s="309"/>
      <c r="I946" s="309"/>
      <c r="J946" s="309"/>
      <c r="K946" s="310"/>
      <c r="L946" s="309"/>
      <c r="M946" s="309"/>
      <c r="N946" s="309"/>
      <c r="O946" s="309"/>
      <c r="P946" s="309"/>
      <c r="Q946" s="309"/>
      <c r="R946" s="309"/>
      <c r="S946" s="309"/>
      <c r="T946" s="309"/>
      <c r="U946" s="309"/>
      <c r="V946" s="309"/>
      <c r="W946" s="309"/>
      <c r="X946" s="309"/>
      <c r="Y946" s="309"/>
      <c r="Z946" s="309"/>
      <c r="AA946" s="309"/>
      <c r="AB946" s="309"/>
      <c r="AC946" s="309"/>
    </row>
    <row r="947" spans="1:29" ht="12.75" customHeight="1">
      <c r="A947" s="309"/>
      <c r="B947" s="309"/>
      <c r="C947" s="309"/>
      <c r="D947" s="309"/>
      <c r="E947" s="309"/>
      <c r="F947" s="309"/>
      <c r="G947" s="309"/>
      <c r="H947" s="309"/>
      <c r="I947" s="309"/>
      <c r="J947" s="309"/>
      <c r="K947" s="310"/>
      <c r="L947" s="309"/>
      <c r="M947" s="309"/>
      <c r="N947" s="309"/>
      <c r="O947" s="309"/>
      <c r="P947" s="309"/>
      <c r="Q947" s="309"/>
      <c r="R947" s="309"/>
      <c r="S947" s="309"/>
      <c r="T947" s="309"/>
      <c r="U947" s="309"/>
      <c r="V947" s="309"/>
      <c r="W947" s="309"/>
      <c r="X947" s="309"/>
      <c r="Y947" s="309"/>
      <c r="Z947" s="309"/>
      <c r="AA947" s="309"/>
      <c r="AB947" s="309"/>
      <c r="AC947" s="309"/>
    </row>
    <row r="948" spans="1:29" ht="12.75" customHeight="1">
      <c r="A948" s="309"/>
      <c r="B948" s="309"/>
      <c r="C948" s="309"/>
      <c r="D948" s="309"/>
      <c r="E948" s="309"/>
      <c r="F948" s="309"/>
      <c r="G948" s="309"/>
      <c r="H948" s="309"/>
      <c r="I948" s="309"/>
      <c r="J948" s="309"/>
      <c r="K948" s="310"/>
      <c r="L948" s="309"/>
      <c r="M948" s="309"/>
      <c r="N948" s="309"/>
      <c r="O948" s="309"/>
      <c r="P948" s="309"/>
      <c r="Q948" s="309"/>
      <c r="R948" s="309"/>
      <c r="S948" s="309"/>
      <c r="T948" s="309"/>
      <c r="U948" s="309"/>
      <c r="V948" s="309"/>
      <c r="W948" s="309"/>
      <c r="X948" s="309"/>
      <c r="Y948" s="309"/>
      <c r="Z948" s="309"/>
      <c r="AA948" s="309"/>
      <c r="AB948" s="309"/>
      <c r="AC948" s="309"/>
    </row>
    <row r="949" spans="1:29" ht="12.75" customHeight="1">
      <c r="A949" s="309"/>
      <c r="B949" s="309"/>
      <c r="C949" s="309"/>
      <c r="D949" s="309"/>
      <c r="E949" s="309"/>
      <c r="F949" s="309"/>
      <c r="G949" s="309"/>
      <c r="H949" s="309"/>
      <c r="I949" s="309"/>
      <c r="J949" s="309"/>
      <c r="K949" s="310"/>
      <c r="L949" s="309"/>
      <c r="M949" s="309"/>
      <c r="N949" s="309"/>
      <c r="O949" s="309"/>
      <c r="P949" s="309"/>
      <c r="Q949" s="309"/>
      <c r="R949" s="309"/>
      <c r="S949" s="309"/>
      <c r="T949" s="309"/>
      <c r="U949" s="309"/>
      <c r="V949" s="309"/>
      <c r="W949" s="309"/>
      <c r="X949" s="309"/>
      <c r="Y949" s="309"/>
      <c r="Z949" s="309"/>
      <c r="AA949" s="309"/>
      <c r="AB949" s="309"/>
      <c r="AC949" s="309"/>
    </row>
    <row r="950" spans="1:29" ht="12.75" customHeight="1">
      <c r="A950" s="309"/>
      <c r="B950" s="309"/>
      <c r="C950" s="309"/>
      <c r="D950" s="309"/>
      <c r="E950" s="309"/>
      <c r="F950" s="309"/>
      <c r="G950" s="309"/>
      <c r="H950" s="309"/>
      <c r="I950" s="309"/>
      <c r="J950" s="309"/>
      <c r="K950" s="310"/>
      <c r="L950" s="309"/>
      <c r="M950" s="309"/>
      <c r="N950" s="309"/>
      <c r="O950" s="309"/>
      <c r="P950" s="309"/>
      <c r="Q950" s="309"/>
      <c r="R950" s="309"/>
      <c r="S950" s="309"/>
      <c r="T950" s="309"/>
      <c r="U950" s="309"/>
      <c r="V950" s="309"/>
      <c r="W950" s="309"/>
      <c r="X950" s="309"/>
      <c r="Y950" s="309"/>
      <c r="Z950" s="309"/>
      <c r="AA950" s="309"/>
      <c r="AB950" s="309"/>
      <c r="AC950" s="309"/>
    </row>
    <row r="951" spans="1:29" ht="12.75" customHeight="1">
      <c r="A951" s="309"/>
      <c r="B951" s="309"/>
      <c r="C951" s="309"/>
      <c r="D951" s="309"/>
      <c r="E951" s="309"/>
      <c r="F951" s="309"/>
      <c r="G951" s="309"/>
      <c r="H951" s="309"/>
      <c r="I951" s="309"/>
      <c r="J951" s="309"/>
      <c r="K951" s="310"/>
      <c r="L951" s="309"/>
      <c r="M951" s="309"/>
      <c r="N951" s="309"/>
      <c r="O951" s="309"/>
      <c r="P951" s="309"/>
      <c r="Q951" s="309"/>
      <c r="R951" s="309"/>
      <c r="S951" s="309"/>
      <c r="T951" s="309"/>
      <c r="U951" s="309"/>
      <c r="V951" s="309"/>
      <c r="W951" s="309"/>
      <c r="X951" s="309"/>
      <c r="Y951" s="309"/>
      <c r="Z951" s="309"/>
      <c r="AA951" s="309"/>
      <c r="AB951" s="309"/>
      <c r="AC951" s="309"/>
    </row>
    <row r="952" spans="1:29" ht="12.75" customHeight="1">
      <c r="A952" s="309"/>
      <c r="B952" s="309"/>
      <c r="C952" s="309"/>
      <c r="D952" s="309"/>
      <c r="E952" s="309"/>
      <c r="F952" s="309"/>
      <c r="G952" s="309"/>
      <c r="H952" s="309"/>
      <c r="I952" s="309"/>
      <c r="J952" s="309"/>
      <c r="K952" s="310"/>
      <c r="L952" s="309"/>
      <c r="M952" s="309"/>
      <c r="N952" s="309"/>
      <c r="O952" s="309"/>
      <c r="P952" s="309"/>
      <c r="Q952" s="309"/>
      <c r="R952" s="309"/>
      <c r="S952" s="309"/>
      <c r="T952" s="309"/>
      <c r="U952" s="309"/>
      <c r="V952" s="309"/>
      <c r="W952" s="309"/>
      <c r="X952" s="309"/>
      <c r="Y952" s="309"/>
      <c r="Z952" s="309"/>
      <c r="AA952" s="309"/>
      <c r="AB952" s="309"/>
      <c r="AC952" s="309"/>
    </row>
    <row r="953" spans="1:29" ht="12.75" customHeight="1">
      <c r="A953" s="309"/>
      <c r="B953" s="309"/>
      <c r="C953" s="309"/>
      <c r="D953" s="309"/>
      <c r="E953" s="309"/>
      <c r="F953" s="309"/>
      <c r="G953" s="309"/>
      <c r="H953" s="309"/>
      <c r="I953" s="309"/>
      <c r="J953" s="309"/>
      <c r="K953" s="310"/>
      <c r="L953" s="309"/>
      <c r="M953" s="309"/>
      <c r="N953" s="309"/>
      <c r="O953" s="309"/>
      <c r="P953" s="309"/>
      <c r="Q953" s="309"/>
      <c r="R953" s="309"/>
      <c r="S953" s="309"/>
      <c r="T953" s="309"/>
      <c r="U953" s="309"/>
      <c r="V953" s="309"/>
      <c r="W953" s="309"/>
      <c r="X953" s="309"/>
      <c r="Y953" s="309"/>
      <c r="Z953" s="309"/>
      <c r="AA953" s="309"/>
      <c r="AB953" s="309"/>
      <c r="AC953" s="309"/>
    </row>
    <row r="954" spans="1:29" ht="12.75" customHeight="1">
      <c r="A954" s="309"/>
      <c r="B954" s="309"/>
      <c r="C954" s="309"/>
      <c r="D954" s="309"/>
      <c r="E954" s="309"/>
      <c r="F954" s="309"/>
      <c r="G954" s="309"/>
      <c r="H954" s="309"/>
      <c r="I954" s="309"/>
      <c r="J954" s="309"/>
      <c r="K954" s="310"/>
      <c r="L954" s="309"/>
      <c r="M954" s="309"/>
      <c r="N954" s="309"/>
      <c r="O954" s="309"/>
      <c r="P954" s="309"/>
      <c r="Q954" s="309"/>
      <c r="R954" s="309"/>
      <c r="S954" s="309"/>
      <c r="T954" s="309"/>
      <c r="U954" s="309"/>
      <c r="V954" s="309"/>
      <c r="W954" s="309"/>
      <c r="X954" s="309"/>
      <c r="Y954" s="309"/>
      <c r="Z954" s="309"/>
      <c r="AA954" s="309"/>
      <c r="AB954" s="309"/>
      <c r="AC954" s="309"/>
    </row>
    <row r="955" spans="1:29" ht="12.75" customHeight="1">
      <c r="A955" s="309"/>
      <c r="B955" s="309"/>
      <c r="C955" s="309"/>
      <c r="D955" s="309"/>
      <c r="E955" s="309"/>
      <c r="F955" s="309"/>
      <c r="G955" s="309"/>
      <c r="H955" s="309"/>
      <c r="I955" s="309"/>
      <c r="J955" s="309"/>
      <c r="K955" s="310"/>
      <c r="L955" s="309"/>
      <c r="M955" s="309"/>
      <c r="N955" s="309"/>
      <c r="O955" s="309"/>
      <c r="P955" s="309"/>
      <c r="Q955" s="309"/>
      <c r="R955" s="309"/>
      <c r="S955" s="309"/>
      <c r="T955" s="309"/>
      <c r="U955" s="309"/>
      <c r="V955" s="309"/>
      <c r="W955" s="309"/>
      <c r="X955" s="309"/>
      <c r="Y955" s="309"/>
      <c r="Z955" s="309"/>
      <c r="AA955" s="309"/>
      <c r="AB955" s="309"/>
      <c r="AC955" s="309"/>
    </row>
    <row r="956" spans="1:29" ht="12.75" customHeight="1">
      <c r="A956" s="309"/>
      <c r="B956" s="309"/>
      <c r="C956" s="309"/>
      <c r="D956" s="309"/>
      <c r="E956" s="309"/>
      <c r="F956" s="309"/>
      <c r="G956" s="309"/>
      <c r="H956" s="309"/>
      <c r="I956" s="309"/>
      <c r="J956" s="309"/>
      <c r="K956" s="310"/>
      <c r="L956" s="309"/>
      <c r="M956" s="309"/>
      <c r="N956" s="309"/>
      <c r="O956" s="309"/>
      <c r="P956" s="309"/>
      <c r="Q956" s="309"/>
      <c r="R956" s="309"/>
      <c r="S956" s="309"/>
      <c r="T956" s="309"/>
      <c r="U956" s="309"/>
      <c r="V956" s="309"/>
      <c r="W956" s="309"/>
      <c r="X956" s="309"/>
      <c r="Y956" s="309"/>
      <c r="Z956" s="309"/>
      <c r="AA956" s="309"/>
      <c r="AB956" s="309"/>
      <c r="AC956" s="309"/>
    </row>
    <row r="957" spans="1:29" ht="12.75" customHeight="1">
      <c r="A957" s="309"/>
      <c r="B957" s="309"/>
      <c r="C957" s="309"/>
      <c r="D957" s="309"/>
      <c r="E957" s="309"/>
      <c r="F957" s="309"/>
      <c r="G957" s="309"/>
      <c r="H957" s="309"/>
      <c r="I957" s="309"/>
      <c r="J957" s="309"/>
      <c r="K957" s="310"/>
      <c r="L957" s="309"/>
      <c r="M957" s="309"/>
      <c r="N957" s="309"/>
      <c r="O957" s="309"/>
      <c r="P957" s="309"/>
      <c r="Q957" s="309"/>
      <c r="R957" s="309"/>
      <c r="S957" s="309"/>
      <c r="T957" s="309"/>
      <c r="U957" s="309"/>
      <c r="V957" s="309"/>
      <c r="W957" s="309"/>
      <c r="X957" s="309"/>
      <c r="Y957" s="309"/>
      <c r="Z957" s="309"/>
      <c r="AA957" s="309"/>
      <c r="AB957" s="309"/>
      <c r="AC957" s="309"/>
    </row>
    <row r="958" spans="1:29" ht="12.75" customHeight="1">
      <c r="A958" s="309"/>
      <c r="B958" s="309"/>
      <c r="C958" s="309"/>
      <c r="D958" s="309"/>
      <c r="E958" s="309"/>
      <c r="F958" s="309"/>
      <c r="G958" s="309"/>
      <c r="H958" s="309"/>
      <c r="I958" s="309"/>
      <c r="J958" s="309"/>
      <c r="K958" s="310"/>
      <c r="L958" s="309"/>
      <c r="M958" s="309"/>
      <c r="N958" s="309"/>
      <c r="O958" s="309"/>
      <c r="P958" s="309"/>
      <c r="Q958" s="309"/>
      <c r="R958" s="309"/>
      <c r="S958" s="309"/>
      <c r="T958" s="309"/>
      <c r="U958" s="309"/>
      <c r="V958" s="309"/>
      <c r="W958" s="309"/>
      <c r="X958" s="309"/>
      <c r="Y958" s="309"/>
      <c r="Z958" s="309"/>
      <c r="AA958" s="309"/>
      <c r="AB958" s="309"/>
      <c r="AC958" s="309"/>
    </row>
    <row r="959" spans="1:29" ht="12.75" customHeight="1">
      <c r="A959" s="309"/>
      <c r="B959" s="309"/>
      <c r="C959" s="309"/>
      <c r="D959" s="309"/>
      <c r="E959" s="309"/>
      <c r="F959" s="309"/>
      <c r="G959" s="309"/>
      <c r="H959" s="309"/>
      <c r="I959" s="309"/>
      <c r="J959" s="309"/>
      <c r="K959" s="310"/>
      <c r="L959" s="309"/>
      <c r="M959" s="309"/>
      <c r="N959" s="309"/>
      <c r="O959" s="309"/>
      <c r="P959" s="309"/>
      <c r="Q959" s="309"/>
      <c r="R959" s="309"/>
      <c r="S959" s="309"/>
      <c r="T959" s="309"/>
      <c r="U959" s="309"/>
      <c r="V959" s="309"/>
      <c r="W959" s="309"/>
      <c r="X959" s="309"/>
      <c r="Y959" s="309"/>
      <c r="Z959" s="309"/>
      <c r="AA959" s="309"/>
      <c r="AB959" s="309"/>
      <c r="AC959" s="309"/>
    </row>
    <row r="960" spans="1:29" ht="12.75" customHeight="1">
      <c r="A960" s="309"/>
      <c r="B960" s="309"/>
      <c r="C960" s="309"/>
      <c r="D960" s="309"/>
      <c r="E960" s="309"/>
      <c r="F960" s="309"/>
      <c r="G960" s="309"/>
      <c r="H960" s="309"/>
      <c r="I960" s="309"/>
      <c r="J960" s="309"/>
      <c r="K960" s="310"/>
      <c r="L960" s="309"/>
      <c r="M960" s="309"/>
      <c r="N960" s="309"/>
      <c r="O960" s="309"/>
      <c r="P960" s="309"/>
      <c r="Q960" s="309"/>
      <c r="R960" s="309"/>
      <c r="S960" s="309"/>
      <c r="T960" s="309"/>
      <c r="U960" s="309"/>
      <c r="V960" s="309"/>
      <c r="W960" s="309"/>
      <c r="X960" s="309"/>
      <c r="Y960" s="309"/>
      <c r="Z960" s="309"/>
      <c r="AA960" s="309"/>
      <c r="AB960" s="309"/>
      <c r="AC960" s="309"/>
    </row>
    <row r="961" spans="1:29" ht="12.75" customHeight="1">
      <c r="A961" s="309"/>
      <c r="B961" s="309"/>
      <c r="C961" s="309"/>
      <c r="D961" s="309"/>
      <c r="E961" s="309"/>
      <c r="F961" s="309"/>
      <c r="G961" s="309"/>
      <c r="H961" s="309"/>
      <c r="I961" s="309"/>
      <c r="J961" s="309"/>
      <c r="K961" s="310"/>
      <c r="L961" s="309"/>
      <c r="M961" s="309"/>
      <c r="N961" s="309"/>
      <c r="O961" s="309"/>
      <c r="P961" s="309"/>
      <c r="Q961" s="309"/>
      <c r="R961" s="309"/>
      <c r="S961" s="309"/>
      <c r="T961" s="309"/>
      <c r="U961" s="309"/>
      <c r="V961" s="309"/>
      <c r="W961" s="309"/>
      <c r="X961" s="309"/>
      <c r="Y961" s="309"/>
      <c r="Z961" s="309"/>
      <c r="AA961" s="309"/>
      <c r="AB961" s="309"/>
      <c r="AC961" s="309"/>
    </row>
    <row r="962" spans="1:29" ht="12.75" customHeight="1">
      <c r="A962" s="309"/>
      <c r="B962" s="309"/>
      <c r="C962" s="309"/>
      <c r="D962" s="309"/>
      <c r="E962" s="309"/>
      <c r="F962" s="309"/>
      <c r="G962" s="309"/>
      <c r="H962" s="309"/>
      <c r="I962" s="309"/>
      <c r="J962" s="309"/>
      <c r="K962" s="310"/>
      <c r="L962" s="309"/>
      <c r="M962" s="309"/>
      <c r="N962" s="309"/>
      <c r="O962" s="309"/>
      <c r="P962" s="309"/>
      <c r="Q962" s="309"/>
      <c r="R962" s="309"/>
      <c r="S962" s="309"/>
      <c r="T962" s="309"/>
      <c r="U962" s="309"/>
      <c r="V962" s="309"/>
      <c r="W962" s="309"/>
      <c r="X962" s="309"/>
      <c r="Y962" s="309"/>
      <c r="Z962" s="309"/>
      <c r="AA962" s="309"/>
      <c r="AB962" s="309"/>
      <c r="AC962" s="309"/>
    </row>
    <row r="963" spans="1:29" ht="12.75" customHeight="1">
      <c r="A963" s="309"/>
      <c r="B963" s="309"/>
      <c r="C963" s="309"/>
      <c r="D963" s="309"/>
      <c r="E963" s="309"/>
      <c r="F963" s="309"/>
      <c r="G963" s="309"/>
      <c r="H963" s="309"/>
      <c r="I963" s="309"/>
      <c r="J963" s="309"/>
      <c r="K963" s="310"/>
      <c r="L963" s="309"/>
      <c r="M963" s="309"/>
      <c r="N963" s="309"/>
      <c r="O963" s="309"/>
      <c r="P963" s="309"/>
      <c r="Q963" s="309"/>
      <c r="R963" s="309"/>
      <c r="S963" s="309"/>
      <c r="T963" s="309"/>
      <c r="U963" s="309"/>
      <c r="V963" s="309"/>
      <c r="W963" s="309"/>
      <c r="X963" s="309"/>
      <c r="Y963" s="309"/>
      <c r="Z963" s="309"/>
      <c r="AA963" s="309"/>
      <c r="AB963" s="309"/>
      <c r="AC963" s="309"/>
    </row>
    <row r="964" spans="1:29" ht="12.75" customHeight="1">
      <c r="A964" s="309"/>
      <c r="B964" s="309"/>
      <c r="C964" s="309"/>
      <c r="D964" s="309"/>
      <c r="E964" s="309"/>
      <c r="F964" s="309"/>
      <c r="G964" s="309"/>
      <c r="H964" s="309"/>
      <c r="I964" s="309"/>
      <c r="J964" s="309"/>
      <c r="K964" s="310"/>
      <c r="L964" s="309"/>
      <c r="M964" s="309"/>
      <c r="N964" s="309"/>
      <c r="O964" s="309"/>
      <c r="P964" s="309"/>
      <c r="Q964" s="309"/>
      <c r="R964" s="309"/>
      <c r="S964" s="309"/>
      <c r="T964" s="309"/>
      <c r="U964" s="309"/>
      <c r="V964" s="309"/>
      <c r="W964" s="309"/>
      <c r="X964" s="309"/>
      <c r="Y964" s="309"/>
      <c r="Z964" s="309"/>
      <c r="AA964" s="309"/>
      <c r="AB964" s="309"/>
      <c r="AC964" s="309"/>
    </row>
    <row r="965" spans="1:29" ht="12.75" customHeight="1">
      <c r="A965" s="309"/>
      <c r="B965" s="309"/>
      <c r="C965" s="309"/>
      <c r="D965" s="309"/>
      <c r="E965" s="309"/>
      <c r="F965" s="309"/>
      <c r="G965" s="309"/>
      <c r="H965" s="309"/>
      <c r="I965" s="309"/>
      <c r="J965" s="309"/>
      <c r="K965" s="310"/>
      <c r="L965" s="309"/>
      <c r="M965" s="309"/>
      <c r="N965" s="309"/>
      <c r="O965" s="309"/>
      <c r="P965" s="309"/>
      <c r="Q965" s="309"/>
      <c r="R965" s="309"/>
      <c r="S965" s="309"/>
      <c r="T965" s="309"/>
      <c r="U965" s="309"/>
      <c r="V965" s="309"/>
      <c r="W965" s="309"/>
      <c r="X965" s="309"/>
      <c r="Y965" s="309"/>
      <c r="Z965" s="309"/>
      <c r="AA965" s="309"/>
      <c r="AB965" s="309"/>
      <c r="AC965" s="309"/>
    </row>
    <row r="966" spans="1:29" ht="12.75" customHeight="1">
      <c r="A966" s="309"/>
      <c r="B966" s="309"/>
      <c r="C966" s="309"/>
      <c r="D966" s="309"/>
      <c r="E966" s="309"/>
      <c r="F966" s="309"/>
      <c r="G966" s="309"/>
      <c r="H966" s="309"/>
      <c r="I966" s="309"/>
      <c r="J966" s="309"/>
      <c r="K966" s="310"/>
      <c r="L966" s="309"/>
      <c r="M966" s="309"/>
      <c r="N966" s="309"/>
      <c r="O966" s="309"/>
      <c r="P966" s="309"/>
      <c r="Q966" s="309"/>
      <c r="R966" s="309"/>
      <c r="S966" s="309"/>
      <c r="T966" s="309"/>
      <c r="U966" s="309"/>
      <c r="V966" s="309"/>
      <c r="W966" s="309"/>
      <c r="X966" s="309"/>
      <c r="Y966" s="309"/>
      <c r="Z966" s="309"/>
      <c r="AA966" s="309"/>
      <c r="AB966" s="309"/>
      <c r="AC966" s="309"/>
    </row>
    <row r="967" spans="1:29" ht="12.75" customHeight="1">
      <c r="A967" s="309"/>
      <c r="B967" s="309"/>
      <c r="C967" s="309"/>
      <c r="D967" s="309"/>
      <c r="E967" s="309"/>
      <c r="F967" s="309"/>
      <c r="G967" s="309"/>
      <c r="H967" s="309"/>
      <c r="I967" s="309"/>
      <c r="J967" s="309"/>
      <c r="K967" s="310"/>
      <c r="L967" s="309"/>
      <c r="M967" s="309"/>
      <c r="N967" s="309"/>
      <c r="O967" s="309"/>
      <c r="P967" s="309"/>
      <c r="Q967" s="309"/>
      <c r="R967" s="309"/>
      <c r="S967" s="309"/>
      <c r="T967" s="309"/>
      <c r="U967" s="309"/>
      <c r="V967" s="309"/>
      <c r="W967" s="309"/>
      <c r="X967" s="309"/>
      <c r="Y967" s="309"/>
      <c r="Z967" s="309"/>
      <c r="AA967" s="309"/>
      <c r="AB967" s="309"/>
      <c r="AC967" s="309"/>
    </row>
    <row r="968" spans="1:29" ht="12.75" customHeight="1">
      <c r="A968" s="309"/>
      <c r="B968" s="309"/>
      <c r="C968" s="309"/>
      <c r="D968" s="309"/>
      <c r="E968" s="309"/>
      <c r="F968" s="309"/>
      <c r="G968" s="309"/>
      <c r="H968" s="309"/>
      <c r="I968" s="309"/>
      <c r="J968" s="309"/>
      <c r="K968" s="310"/>
      <c r="L968" s="309"/>
      <c r="M968" s="309"/>
      <c r="N968" s="309"/>
      <c r="O968" s="309"/>
      <c r="P968" s="309"/>
      <c r="Q968" s="309"/>
      <c r="R968" s="309"/>
      <c r="S968" s="309"/>
      <c r="T968" s="309"/>
      <c r="U968" s="309"/>
      <c r="V968" s="309"/>
      <c r="W968" s="309"/>
      <c r="X968" s="309"/>
      <c r="Y968" s="309"/>
      <c r="Z968" s="309"/>
      <c r="AA968" s="309"/>
      <c r="AB968" s="309"/>
      <c r="AC968" s="309"/>
    </row>
    <row r="969" spans="1:29" ht="12.75" customHeight="1">
      <c r="A969" s="309"/>
      <c r="B969" s="309"/>
      <c r="C969" s="309"/>
      <c r="D969" s="309"/>
      <c r="E969" s="309"/>
      <c r="F969" s="309"/>
      <c r="G969" s="309"/>
      <c r="H969" s="309"/>
      <c r="I969" s="309"/>
      <c r="J969" s="309"/>
      <c r="K969" s="310"/>
      <c r="L969" s="309"/>
      <c r="M969" s="309"/>
      <c r="N969" s="309"/>
      <c r="O969" s="309"/>
      <c r="P969" s="309"/>
      <c r="Q969" s="309"/>
      <c r="R969" s="309"/>
      <c r="S969" s="309"/>
      <c r="T969" s="309"/>
      <c r="U969" s="309"/>
      <c r="V969" s="309"/>
      <c r="W969" s="309"/>
      <c r="X969" s="309"/>
      <c r="Y969" s="309"/>
      <c r="Z969" s="309"/>
      <c r="AA969" s="309"/>
      <c r="AB969" s="309"/>
      <c r="AC969" s="309"/>
    </row>
    <row r="970" spans="1:29" ht="12.75" customHeight="1">
      <c r="A970" s="309"/>
      <c r="B970" s="309"/>
      <c r="C970" s="309"/>
      <c r="D970" s="309"/>
      <c r="E970" s="309"/>
      <c r="F970" s="309"/>
      <c r="G970" s="309"/>
      <c r="H970" s="309"/>
      <c r="I970" s="309"/>
      <c r="J970" s="309"/>
      <c r="K970" s="310"/>
      <c r="L970" s="309"/>
      <c r="M970" s="309"/>
      <c r="N970" s="309"/>
      <c r="O970" s="309"/>
      <c r="P970" s="309"/>
      <c r="Q970" s="309"/>
      <c r="R970" s="309"/>
      <c r="S970" s="309"/>
      <c r="T970" s="309"/>
      <c r="U970" s="309"/>
      <c r="V970" s="309"/>
      <c r="W970" s="309"/>
      <c r="X970" s="309"/>
      <c r="Y970" s="309"/>
      <c r="Z970" s="309"/>
      <c r="AA970" s="309"/>
      <c r="AB970" s="309"/>
      <c r="AC970" s="309"/>
    </row>
    <row r="971" spans="1:29" ht="12.75" customHeight="1">
      <c r="A971" s="309"/>
      <c r="B971" s="309"/>
      <c r="C971" s="309"/>
      <c r="D971" s="309"/>
      <c r="E971" s="309"/>
      <c r="F971" s="309"/>
      <c r="G971" s="309"/>
      <c r="H971" s="309"/>
      <c r="I971" s="309"/>
      <c r="J971" s="309"/>
      <c r="K971" s="310"/>
      <c r="L971" s="309"/>
      <c r="M971" s="309"/>
      <c r="N971" s="309"/>
      <c r="O971" s="309"/>
      <c r="P971" s="309"/>
      <c r="Q971" s="309"/>
      <c r="R971" s="309"/>
      <c r="S971" s="309"/>
      <c r="T971" s="309"/>
      <c r="U971" s="309"/>
      <c r="V971" s="309"/>
      <c r="W971" s="309"/>
      <c r="X971" s="309"/>
      <c r="Y971" s="309"/>
      <c r="Z971" s="309"/>
      <c r="AA971" s="309"/>
      <c r="AB971" s="309"/>
      <c r="AC971" s="309"/>
    </row>
    <row r="972" spans="1:29" ht="12.75" customHeight="1">
      <c r="A972" s="309"/>
      <c r="B972" s="309"/>
      <c r="C972" s="309"/>
      <c r="D972" s="309"/>
      <c r="E972" s="309"/>
      <c r="F972" s="309"/>
      <c r="G972" s="309"/>
      <c r="H972" s="309"/>
      <c r="I972" s="309"/>
      <c r="J972" s="309"/>
      <c r="K972" s="310"/>
      <c r="L972" s="309"/>
      <c r="M972" s="309"/>
      <c r="N972" s="309"/>
      <c r="O972" s="309"/>
      <c r="P972" s="309"/>
      <c r="Q972" s="309"/>
      <c r="R972" s="309"/>
      <c r="S972" s="309"/>
      <c r="T972" s="309"/>
      <c r="U972" s="309"/>
      <c r="V972" s="309"/>
      <c r="W972" s="309"/>
      <c r="X972" s="309"/>
      <c r="Y972" s="309"/>
      <c r="Z972" s="309"/>
      <c r="AA972" s="309"/>
      <c r="AB972" s="309"/>
      <c r="AC972" s="309"/>
    </row>
    <row r="973" spans="1:29" ht="12.75" customHeight="1">
      <c r="A973" s="309"/>
      <c r="B973" s="309"/>
      <c r="C973" s="309"/>
      <c r="D973" s="309"/>
      <c r="E973" s="309"/>
      <c r="F973" s="309"/>
      <c r="G973" s="309"/>
      <c r="H973" s="309"/>
      <c r="I973" s="309"/>
      <c r="J973" s="309"/>
      <c r="K973" s="310"/>
      <c r="L973" s="309"/>
      <c r="M973" s="309"/>
      <c r="N973" s="309"/>
      <c r="O973" s="309"/>
      <c r="P973" s="309"/>
      <c r="Q973" s="309"/>
      <c r="R973" s="309"/>
      <c r="S973" s="309"/>
      <c r="T973" s="309"/>
      <c r="U973" s="309"/>
      <c r="V973" s="309"/>
      <c r="W973" s="309"/>
      <c r="X973" s="309"/>
      <c r="Y973" s="309"/>
      <c r="Z973" s="309"/>
      <c r="AA973" s="309"/>
      <c r="AB973" s="309"/>
      <c r="AC973" s="309"/>
    </row>
    <row r="974" spans="1:29" ht="12.75" customHeight="1">
      <c r="A974" s="309"/>
      <c r="B974" s="309"/>
      <c r="C974" s="309"/>
      <c r="D974" s="309"/>
      <c r="E974" s="309"/>
      <c r="F974" s="309"/>
      <c r="G974" s="309"/>
      <c r="H974" s="309"/>
      <c r="I974" s="309"/>
      <c r="J974" s="309"/>
      <c r="K974" s="310"/>
      <c r="L974" s="309"/>
      <c r="M974" s="309"/>
      <c r="N974" s="309"/>
      <c r="O974" s="309"/>
      <c r="P974" s="309"/>
      <c r="Q974" s="309"/>
      <c r="R974" s="309"/>
      <c r="S974" s="309"/>
      <c r="T974" s="309"/>
      <c r="U974" s="309"/>
      <c r="V974" s="309"/>
      <c r="W974" s="309"/>
      <c r="X974" s="309"/>
      <c r="Y974" s="309"/>
      <c r="Z974" s="309"/>
      <c r="AA974" s="309"/>
      <c r="AB974" s="309"/>
      <c r="AC974" s="309"/>
    </row>
    <row r="975" spans="1:29" ht="12.75" customHeight="1">
      <c r="A975" s="309"/>
      <c r="B975" s="309"/>
      <c r="C975" s="309"/>
      <c r="D975" s="309"/>
      <c r="E975" s="309"/>
      <c r="F975" s="309"/>
      <c r="G975" s="309"/>
      <c r="H975" s="309"/>
      <c r="I975" s="309"/>
      <c r="J975" s="309"/>
      <c r="K975" s="310"/>
      <c r="L975" s="309"/>
      <c r="M975" s="309"/>
      <c r="N975" s="309"/>
      <c r="O975" s="309"/>
      <c r="P975" s="309"/>
      <c r="Q975" s="309"/>
      <c r="R975" s="309"/>
      <c r="S975" s="309"/>
      <c r="T975" s="309"/>
      <c r="U975" s="309"/>
      <c r="V975" s="309"/>
      <c r="W975" s="309"/>
      <c r="X975" s="309"/>
      <c r="Y975" s="309"/>
      <c r="Z975" s="309"/>
      <c r="AA975" s="309"/>
      <c r="AB975" s="309"/>
      <c r="AC975" s="309"/>
    </row>
    <row r="976" spans="1:29" ht="12.75" customHeight="1">
      <c r="A976" s="309"/>
      <c r="B976" s="309"/>
      <c r="C976" s="309"/>
      <c r="D976" s="309"/>
      <c r="E976" s="309"/>
      <c r="F976" s="309"/>
      <c r="G976" s="309"/>
      <c r="H976" s="309"/>
      <c r="I976" s="309"/>
      <c r="J976" s="309"/>
      <c r="K976" s="310"/>
      <c r="L976" s="309"/>
      <c r="M976" s="309"/>
      <c r="N976" s="309"/>
      <c r="O976" s="309"/>
      <c r="P976" s="309"/>
      <c r="Q976" s="309"/>
      <c r="R976" s="309"/>
      <c r="S976" s="309"/>
      <c r="T976" s="309"/>
      <c r="U976" s="309"/>
      <c r="V976" s="309"/>
      <c r="W976" s="309"/>
      <c r="X976" s="309"/>
      <c r="Y976" s="309"/>
      <c r="Z976" s="309"/>
      <c r="AA976" s="309"/>
      <c r="AB976" s="309"/>
      <c r="AC976" s="309"/>
    </row>
    <row r="977" spans="1:29" ht="12.75" customHeight="1">
      <c r="A977" s="309"/>
      <c r="B977" s="309"/>
      <c r="C977" s="309"/>
      <c r="D977" s="309"/>
      <c r="E977" s="309"/>
      <c r="F977" s="309"/>
      <c r="G977" s="309"/>
      <c r="H977" s="309"/>
      <c r="I977" s="309"/>
      <c r="J977" s="309"/>
      <c r="K977" s="310"/>
      <c r="L977" s="309"/>
      <c r="M977" s="309"/>
      <c r="N977" s="309"/>
      <c r="O977" s="309"/>
      <c r="P977" s="309"/>
      <c r="Q977" s="309"/>
      <c r="R977" s="309"/>
      <c r="S977" s="309"/>
      <c r="T977" s="309"/>
      <c r="U977" s="309"/>
      <c r="V977" s="309"/>
      <c r="W977" s="309"/>
      <c r="X977" s="309"/>
      <c r="Y977" s="309"/>
      <c r="Z977" s="309"/>
      <c r="AA977" s="309"/>
      <c r="AB977" s="309"/>
      <c r="AC977" s="309"/>
    </row>
    <row r="978" spans="1:29" ht="12.75" customHeight="1">
      <c r="A978" s="309"/>
      <c r="B978" s="309"/>
      <c r="C978" s="309"/>
      <c r="D978" s="309"/>
      <c r="E978" s="309"/>
      <c r="F978" s="309"/>
      <c r="G978" s="309"/>
      <c r="H978" s="309"/>
      <c r="I978" s="309"/>
      <c r="J978" s="309"/>
      <c r="K978" s="310"/>
      <c r="L978" s="309"/>
      <c r="M978" s="309"/>
      <c r="N978" s="309"/>
      <c r="O978" s="309"/>
      <c r="P978" s="309"/>
      <c r="Q978" s="309"/>
      <c r="R978" s="309"/>
      <c r="S978" s="309"/>
      <c r="T978" s="309"/>
      <c r="U978" s="309"/>
      <c r="V978" s="309"/>
      <c r="W978" s="309"/>
      <c r="X978" s="309"/>
      <c r="Y978" s="309"/>
      <c r="Z978" s="309"/>
      <c r="AA978" s="309"/>
      <c r="AB978" s="309"/>
      <c r="AC978" s="309"/>
    </row>
    <row r="979" spans="1:29" ht="12.75" customHeight="1">
      <c r="A979" s="309"/>
      <c r="B979" s="309"/>
      <c r="C979" s="309"/>
      <c r="D979" s="309"/>
      <c r="E979" s="309"/>
      <c r="F979" s="309"/>
      <c r="G979" s="309"/>
      <c r="H979" s="309"/>
      <c r="I979" s="309"/>
      <c r="J979" s="309"/>
      <c r="K979" s="310"/>
      <c r="L979" s="309"/>
      <c r="M979" s="309"/>
      <c r="N979" s="309"/>
      <c r="O979" s="309"/>
      <c r="P979" s="309"/>
      <c r="Q979" s="309"/>
      <c r="R979" s="309"/>
      <c r="S979" s="309"/>
      <c r="T979" s="309"/>
      <c r="U979" s="309"/>
      <c r="V979" s="309"/>
      <c r="W979" s="309"/>
      <c r="X979" s="309"/>
      <c r="Y979" s="309"/>
      <c r="Z979" s="309"/>
      <c r="AA979" s="309"/>
      <c r="AB979" s="309"/>
      <c r="AC979" s="309"/>
    </row>
    <row r="980" spans="1:29" ht="12.75" customHeight="1">
      <c r="A980" s="309"/>
      <c r="B980" s="309"/>
      <c r="C980" s="309"/>
      <c r="D980" s="309"/>
      <c r="E980" s="309"/>
      <c r="F980" s="309"/>
      <c r="G980" s="309"/>
      <c r="H980" s="309"/>
      <c r="I980" s="309"/>
      <c r="J980" s="309"/>
      <c r="K980" s="310"/>
      <c r="L980" s="309"/>
      <c r="M980" s="309"/>
      <c r="N980" s="309"/>
      <c r="O980" s="309"/>
      <c r="P980" s="309"/>
      <c r="Q980" s="309"/>
      <c r="R980" s="309"/>
      <c r="S980" s="309"/>
      <c r="T980" s="309"/>
      <c r="U980" s="309"/>
      <c r="V980" s="309"/>
      <c r="W980" s="309"/>
      <c r="X980" s="309"/>
      <c r="Y980" s="309"/>
      <c r="Z980" s="309"/>
      <c r="AA980" s="309"/>
      <c r="AB980" s="309"/>
      <c r="AC980" s="309"/>
    </row>
    <row r="981" spans="1:29" ht="12.75" customHeight="1">
      <c r="A981" s="309"/>
      <c r="B981" s="309"/>
      <c r="C981" s="309"/>
      <c r="D981" s="309"/>
      <c r="E981" s="309"/>
      <c r="F981" s="309"/>
      <c r="G981" s="309"/>
      <c r="H981" s="309"/>
      <c r="I981" s="309"/>
      <c r="J981" s="309"/>
      <c r="K981" s="310"/>
      <c r="L981" s="309"/>
      <c r="M981" s="309"/>
      <c r="N981" s="309"/>
      <c r="O981" s="309"/>
      <c r="P981" s="309"/>
      <c r="Q981" s="309"/>
      <c r="R981" s="309"/>
      <c r="S981" s="309"/>
      <c r="T981" s="309"/>
      <c r="U981" s="309"/>
      <c r="V981" s="309"/>
      <c r="W981" s="309"/>
      <c r="X981" s="309"/>
      <c r="Y981" s="309"/>
      <c r="Z981" s="309"/>
      <c r="AA981" s="309"/>
      <c r="AB981" s="309"/>
      <c r="AC981" s="309"/>
    </row>
    <row r="982" spans="1:29" ht="12.75" customHeight="1">
      <c r="A982" s="309"/>
      <c r="B982" s="309"/>
      <c r="C982" s="309"/>
      <c r="D982" s="309"/>
      <c r="E982" s="309"/>
      <c r="F982" s="309"/>
      <c r="G982" s="309"/>
      <c r="H982" s="309"/>
      <c r="I982" s="309"/>
      <c r="J982" s="309"/>
      <c r="K982" s="310"/>
      <c r="L982" s="309"/>
      <c r="M982" s="309"/>
      <c r="N982" s="309"/>
      <c r="O982" s="309"/>
      <c r="P982" s="309"/>
      <c r="Q982" s="309"/>
      <c r="R982" s="309"/>
      <c r="S982" s="309"/>
      <c r="T982" s="309"/>
      <c r="U982" s="309"/>
      <c r="V982" s="309"/>
      <c r="W982" s="309"/>
      <c r="X982" s="309"/>
      <c r="Y982" s="309"/>
      <c r="Z982" s="309"/>
      <c r="AA982" s="309"/>
      <c r="AB982" s="309"/>
      <c r="AC982" s="309"/>
    </row>
    <row r="983" spans="1:29" ht="12.75" customHeight="1">
      <c r="A983" s="309"/>
      <c r="B983" s="309"/>
      <c r="C983" s="309"/>
      <c r="D983" s="309"/>
      <c r="E983" s="309"/>
      <c r="F983" s="309"/>
      <c r="G983" s="309"/>
      <c r="H983" s="309"/>
      <c r="I983" s="309"/>
      <c r="J983" s="309"/>
      <c r="K983" s="310"/>
      <c r="L983" s="309"/>
      <c r="M983" s="309"/>
      <c r="N983" s="309"/>
      <c r="O983" s="309"/>
      <c r="P983" s="309"/>
      <c r="Q983" s="309"/>
      <c r="R983" s="309"/>
      <c r="S983" s="309"/>
      <c r="T983" s="309"/>
      <c r="U983" s="309"/>
      <c r="V983" s="309"/>
      <c r="W983" s="309"/>
      <c r="X983" s="309"/>
      <c r="Y983" s="309"/>
      <c r="Z983" s="309"/>
      <c r="AA983" s="309"/>
      <c r="AB983" s="309"/>
      <c r="AC983" s="309"/>
    </row>
    <row r="984" spans="1:29" ht="12.75" customHeight="1">
      <c r="A984" s="309"/>
      <c r="B984" s="309"/>
      <c r="C984" s="309"/>
      <c r="D984" s="309"/>
      <c r="E984" s="309"/>
      <c r="F984" s="309"/>
      <c r="G984" s="309"/>
      <c r="H984" s="309"/>
      <c r="I984" s="309"/>
      <c r="J984" s="309"/>
      <c r="K984" s="310"/>
      <c r="L984" s="309"/>
      <c r="M984" s="309"/>
      <c r="N984" s="309"/>
      <c r="O984" s="309"/>
      <c r="P984" s="309"/>
      <c r="Q984" s="309"/>
      <c r="R984" s="309"/>
      <c r="S984" s="309"/>
      <c r="T984" s="309"/>
      <c r="U984" s="309"/>
      <c r="V984" s="309"/>
      <c r="W984" s="309"/>
      <c r="X984" s="309"/>
      <c r="Y984" s="309"/>
      <c r="Z984" s="309"/>
      <c r="AA984" s="309"/>
      <c r="AB984" s="309"/>
      <c r="AC984" s="309"/>
    </row>
    <row r="985" spans="1:29" ht="12.75" customHeight="1">
      <c r="A985" s="309"/>
      <c r="B985" s="309"/>
      <c r="C985" s="309"/>
      <c r="D985" s="309"/>
      <c r="E985" s="309"/>
      <c r="F985" s="309"/>
      <c r="G985" s="309"/>
      <c r="H985" s="309"/>
      <c r="I985" s="309"/>
      <c r="J985" s="309"/>
      <c r="K985" s="310"/>
      <c r="L985" s="309"/>
      <c r="M985" s="309"/>
      <c r="N985" s="309"/>
      <c r="O985" s="309"/>
      <c r="P985" s="309"/>
      <c r="Q985" s="309"/>
      <c r="R985" s="309"/>
      <c r="S985" s="309"/>
      <c r="T985" s="309"/>
      <c r="U985" s="309"/>
      <c r="V985" s="309"/>
      <c r="W985" s="309"/>
      <c r="X985" s="309"/>
      <c r="Y985" s="309"/>
      <c r="Z985" s="309"/>
      <c r="AA985" s="309"/>
      <c r="AB985" s="309"/>
      <c r="AC985" s="309"/>
    </row>
    <row r="986" spans="1:29" ht="12.75" customHeight="1">
      <c r="A986" s="309"/>
      <c r="B986" s="309"/>
      <c r="C986" s="309"/>
      <c r="D986" s="309"/>
      <c r="E986" s="309"/>
      <c r="F986" s="309"/>
      <c r="G986" s="309"/>
      <c r="H986" s="309"/>
      <c r="I986" s="309"/>
      <c r="J986" s="309"/>
      <c r="K986" s="310"/>
      <c r="L986" s="309"/>
      <c r="M986" s="309"/>
      <c r="N986" s="309"/>
      <c r="O986" s="309"/>
      <c r="P986" s="309"/>
      <c r="Q986" s="309"/>
      <c r="R986" s="309"/>
      <c r="S986" s="309"/>
      <c r="T986" s="309"/>
      <c r="U986" s="309"/>
      <c r="V986" s="309"/>
      <c r="W986" s="309"/>
      <c r="X986" s="309"/>
      <c r="Y986" s="309"/>
      <c r="Z986" s="309"/>
      <c r="AA986" s="309"/>
      <c r="AB986" s="309"/>
      <c r="AC986" s="309"/>
    </row>
    <row r="987" spans="1:29" ht="12.75" customHeight="1">
      <c r="A987" s="309"/>
      <c r="B987" s="309"/>
      <c r="C987" s="309"/>
      <c r="D987" s="309"/>
      <c r="E987" s="309"/>
      <c r="F987" s="309"/>
      <c r="G987" s="309"/>
      <c r="H987" s="309"/>
      <c r="I987" s="309"/>
      <c r="J987" s="309"/>
      <c r="K987" s="310"/>
      <c r="L987" s="309"/>
      <c r="M987" s="309"/>
      <c r="N987" s="309"/>
      <c r="O987" s="309"/>
      <c r="P987" s="309"/>
      <c r="Q987" s="309"/>
      <c r="R987" s="309"/>
      <c r="S987" s="309"/>
      <c r="T987" s="309"/>
      <c r="U987" s="309"/>
      <c r="V987" s="309"/>
      <c r="W987" s="309"/>
      <c r="X987" s="309"/>
      <c r="Y987" s="309"/>
      <c r="Z987" s="309"/>
      <c r="AA987" s="309"/>
      <c r="AB987" s="309"/>
      <c r="AC987" s="309"/>
    </row>
    <row r="988" spans="1:29" ht="12.75" customHeight="1">
      <c r="A988" s="309"/>
      <c r="B988" s="309"/>
      <c r="C988" s="309"/>
      <c r="D988" s="309"/>
      <c r="E988" s="309"/>
      <c r="F988" s="309"/>
      <c r="G988" s="309"/>
      <c r="H988" s="309"/>
      <c r="I988" s="309"/>
      <c r="J988" s="309"/>
      <c r="K988" s="310"/>
      <c r="L988" s="309"/>
      <c r="M988" s="309"/>
      <c r="N988" s="309"/>
      <c r="O988" s="309"/>
      <c r="P988" s="309"/>
      <c r="Q988" s="309"/>
      <c r="R988" s="309"/>
      <c r="S988" s="309"/>
      <c r="T988" s="309"/>
      <c r="U988" s="309"/>
      <c r="V988" s="309"/>
      <c r="W988" s="309"/>
      <c r="X988" s="309"/>
      <c r="Y988" s="309"/>
      <c r="Z988" s="309"/>
      <c r="AA988" s="309"/>
      <c r="AB988" s="309"/>
      <c r="AC988" s="309"/>
    </row>
    <row r="989" spans="1:29" ht="12.75" customHeight="1">
      <c r="A989" s="309"/>
      <c r="B989" s="309"/>
      <c r="C989" s="309"/>
      <c r="D989" s="309"/>
      <c r="E989" s="309"/>
      <c r="F989" s="309"/>
      <c r="G989" s="309"/>
      <c r="H989" s="309"/>
      <c r="I989" s="309"/>
      <c r="J989" s="309"/>
      <c r="K989" s="310"/>
      <c r="L989" s="309"/>
      <c r="M989" s="309"/>
      <c r="N989" s="309"/>
      <c r="O989" s="309"/>
      <c r="P989" s="309"/>
      <c r="Q989" s="309"/>
      <c r="R989" s="309"/>
      <c r="S989" s="309"/>
      <c r="T989" s="309"/>
      <c r="U989" s="309"/>
      <c r="V989" s="309"/>
      <c r="W989" s="309"/>
      <c r="X989" s="309"/>
      <c r="Y989" s="309"/>
      <c r="Z989" s="309"/>
      <c r="AA989" s="309"/>
      <c r="AB989" s="309"/>
      <c r="AC989" s="309"/>
    </row>
    <row r="990" spans="1:29" ht="12.75" customHeight="1">
      <c r="A990" s="309"/>
      <c r="B990" s="309"/>
      <c r="C990" s="309"/>
      <c r="D990" s="309"/>
      <c r="E990" s="309"/>
      <c r="F990" s="309"/>
      <c r="G990" s="309"/>
      <c r="H990" s="309"/>
      <c r="I990" s="309"/>
      <c r="J990" s="309"/>
      <c r="K990" s="310"/>
      <c r="L990" s="309"/>
      <c r="M990" s="309"/>
      <c r="N990" s="309"/>
      <c r="O990" s="309"/>
      <c r="P990" s="309"/>
      <c r="Q990" s="309"/>
      <c r="R990" s="309"/>
      <c r="S990" s="309"/>
      <c r="T990" s="309"/>
      <c r="U990" s="309"/>
      <c r="V990" s="309"/>
      <c r="W990" s="309"/>
      <c r="X990" s="309"/>
      <c r="Y990" s="309"/>
      <c r="Z990" s="309"/>
      <c r="AA990" s="309"/>
      <c r="AB990" s="309"/>
      <c r="AC990" s="309"/>
    </row>
    <row r="991" spans="1:29" ht="12.75" customHeight="1">
      <c r="A991" s="309"/>
      <c r="B991" s="309"/>
      <c r="C991" s="309"/>
      <c r="D991" s="309"/>
      <c r="E991" s="309"/>
      <c r="F991" s="309"/>
      <c r="G991" s="309"/>
      <c r="H991" s="309"/>
      <c r="I991" s="309"/>
      <c r="J991" s="309"/>
      <c r="K991" s="310"/>
      <c r="L991" s="309"/>
      <c r="M991" s="309"/>
      <c r="N991" s="309"/>
      <c r="O991" s="309"/>
      <c r="P991" s="309"/>
      <c r="Q991" s="309"/>
      <c r="R991" s="309"/>
      <c r="S991" s="309"/>
      <c r="T991" s="309"/>
      <c r="U991" s="309"/>
      <c r="V991" s="309"/>
      <c r="W991" s="309"/>
      <c r="X991" s="309"/>
      <c r="Y991" s="309"/>
      <c r="Z991" s="309"/>
      <c r="AA991" s="309"/>
      <c r="AB991" s="309"/>
      <c r="AC991" s="309"/>
    </row>
    <row r="992" spans="1:29" ht="12.75" customHeight="1">
      <c r="A992" s="309"/>
      <c r="B992" s="309"/>
      <c r="C992" s="309"/>
      <c r="D992" s="309"/>
      <c r="E992" s="309"/>
      <c r="F992" s="309"/>
      <c r="G992" s="309"/>
      <c r="H992" s="309"/>
      <c r="I992" s="309"/>
      <c r="J992" s="309"/>
      <c r="K992" s="310"/>
      <c r="L992" s="309"/>
      <c r="M992" s="309"/>
      <c r="N992" s="309"/>
      <c r="O992" s="309"/>
      <c r="P992" s="309"/>
      <c r="Q992" s="309"/>
      <c r="R992" s="309"/>
      <c r="S992" s="309"/>
      <c r="T992" s="309"/>
      <c r="U992" s="309"/>
      <c r="V992" s="309"/>
      <c r="W992" s="309"/>
      <c r="X992" s="309"/>
      <c r="Y992" s="309"/>
      <c r="Z992" s="309"/>
      <c r="AA992" s="309"/>
      <c r="AB992" s="309"/>
      <c r="AC992" s="309"/>
    </row>
    <row r="993" spans="1:29" ht="12.75" customHeight="1">
      <c r="A993" s="309"/>
      <c r="B993" s="309"/>
      <c r="C993" s="309"/>
      <c r="D993" s="309"/>
      <c r="E993" s="309"/>
      <c r="F993" s="309"/>
      <c r="G993" s="309"/>
      <c r="H993" s="309"/>
      <c r="I993" s="309"/>
      <c r="J993" s="309"/>
      <c r="K993" s="310"/>
      <c r="L993" s="309"/>
      <c r="M993" s="309"/>
      <c r="N993" s="309"/>
      <c r="O993" s="309"/>
      <c r="P993" s="309"/>
      <c r="Q993" s="309"/>
      <c r="R993" s="309"/>
      <c r="S993" s="309"/>
      <c r="T993" s="309"/>
      <c r="U993" s="309"/>
      <c r="V993" s="309"/>
      <c r="W993" s="309"/>
      <c r="X993" s="309"/>
      <c r="Y993" s="309"/>
      <c r="Z993" s="309"/>
      <c r="AA993" s="309"/>
      <c r="AB993" s="309"/>
      <c r="AC993" s="309"/>
    </row>
    <row r="994" spans="1:29" ht="12.75" customHeight="1">
      <c r="A994" s="309"/>
      <c r="B994" s="309"/>
      <c r="C994" s="309"/>
      <c r="D994" s="309"/>
      <c r="E994" s="309"/>
      <c r="F994" s="309"/>
      <c r="G994" s="309"/>
      <c r="H994" s="309"/>
      <c r="I994" s="309"/>
      <c r="J994" s="309"/>
      <c r="K994" s="310"/>
      <c r="L994" s="309"/>
      <c r="M994" s="309"/>
      <c r="N994" s="309"/>
      <c r="O994" s="309"/>
      <c r="P994" s="309"/>
      <c r="Q994" s="309"/>
      <c r="R994" s="309"/>
      <c r="S994" s="309"/>
      <c r="T994" s="309"/>
      <c r="U994" s="309"/>
      <c r="V994" s="309"/>
      <c r="W994" s="309"/>
      <c r="X994" s="309"/>
      <c r="Y994" s="309"/>
      <c r="Z994" s="309"/>
      <c r="AA994" s="309"/>
      <c r="AB994" s="309"/>
      <c r="AC994" s="309"/>
    </row>
    <row r="995" spans="1:29" ht="12.75" customHeight="1">
      <c r="A995" s="309"/>
      <c r="B995" s="309"/>
      <c r="C995" s="309"/>
      <c r="D995" s="309"/>
      <c r="E995" s="309"/>
      <c r="F995" s="309"/>
      <c r="G995" s="309"/>
      <c r="H995" s="309"/>
      <c r="I995" s="309"/>
      <c r="J995" s="309"/>
      <c r="K995" s="310"/>
      <c r="L995" s="309"/>
      <c r="M995" s="309"/>
      <c r="N995" s="309"/>
      <c r="O995" s="309"/>
      <c r="P995" s="309"/>
      <c r="Q995" s="309"/>
      <c r="R995" s="309"/>
      <c r="S995" s="309"/>
      <c r="T995" s="309"/>
      <c r="U995" s="309"/>
      <c r="V995" s="309"/>
      <c r="W995" s="309"/>
      <c r="X995" s="309"/>
      <c r="Y995" s="309"/>
      <c r="Z995" s="309"/>
      <c r="AA995" s="309"/>
      <c r="AB995" s="309"/>
      <c r="AC995" s="309"/>
    </row>
    <row r="996" spans="1:29" ht="12.75" customHeight="1">
      <c r="A996" s="309"/>
      <c r="B996" s="309"/>
      <c r="C996" s="309"/>
      <c r="D996" s="309"/>
      <c r="E996" s="309"/>
      <c r="F996" s="309"/>
      <c r="G996" s="309"/>
      <c r="H996" s="309"/>
      <c r="I996" s="309"/>
      <c r="J996" s="309"/>
      <c r="K996" s="310"/>
      <c r="L996" s="309"/>
      <c r="M996" s="309"/>
      <c r="N996" s="309"/>
      <c r="O996" s="309"/>
      <c r="P996" s="309"/>
      <c r="Q996" s="309"/>
      <c r="R996" s="309"/>
      <c r="S996" s="309"/>
      <c r="T996" s="309"/>
      <c r="U996" s="309"/>
      <c r="V996" s="309"/>
      <c r="W996" s="309"/>
      <c r="X996" s="309"/>
      <c r="Y996" s="309"/>
      <c r="Z996" s="309"/>
      <c r="AA996" s="309"/>
      <c r="AB996" s="309"/>
      <c r="AC996" s="309"/>
    </row>
    <row r="997" spans="1:29" ht="12.75" customHeight="1">
      <c r="A997" s="309"/>
      <c r="B997" s="309"/>
      <c r="C997" s="309"/>
      <c r="D997" s="309"/>
      <c r="E997" s="309"/>
      <c r="F997" s="309"/>
      <c r="G997" s="309"/>
      <c r="H997" s="309"/>
      <c r="I997" s="309"/>
      <c r="J997" s="309"/>
      <c r="K997" s="310"/>
      <c r="L997" s="309"/>
      <c r="M997" s="309"/>
      <c r="N997" s="309"/>
      <c r="O997" s="309"/>
      <c r="P997" s="309"/>
      <c r="Q997" s="309"/>
      <c r="R997" s="309"/>
      <c r="S997" s="309"/>
      <c r="T997" s="309"/>
      <c r="U997" s="309"/>
      <c r="V997" s="309"/>
      <c r="W997" s="309"/>
      <c r="X997" s="309"/>
      <c r="Y997" s="309"/>
      <c r="Z997" s="309"/>
      <c r="AA997" s="309"/>
      <c r="AB997" s="309"/>
      <c r="AC997" s="309"/>
    </row>
    <row r="998" spans="1:29" ht="12.75" customHeight="1">
      <c r="A998" s="309"/>
      <c r="B998" s="309"/>
      <c r="C998" s="309"/>
      <c r="D998" s="309"/>
      <c r="E998" s="309"/>
      <c r="F998" s="309"/>
      <c r="G998" s="309"/>
      <c r="H998" s="309"/>
      <c r="I998" s="309"/>
      <c r="J998" s="309"/>
      <c r="K998" s="310"/>
      <c r="L998" s="309"/>
      <c r="M998" s="309"/>
      <c r="N998" s="309"/>
      <c r="O998" s="309"/>
      <c r="P998" s="309"/>
      <c r="Q998" s="309"/>
      <c r="R998" s="309"/>
      <c r="S998" s="309"/>
      <c r="T998" s="309"/>
      <c r="U998" s="309"/>
      <c r="V998" s="309"/>
      <c r="W998" s="309"/>
      <c r="X998" s="309"/>
      <c r="Y998" s="309"/>
      <c r="Z998" s="309"/>
      <c r="AA998" s="309"/>
      <c r="AB998" s="309"/>
      <c r="AC998" s="309"/>
    </row>
    <row r="999" spans="1:29" ht="12.75" customHeight="1">
      <c r="A999" s="309"/>
      <c r="B999" s="309"/>
      <c r="C999" s="309"/>
      <c r="D999" s="309"/>
      <c r="E999" s="309"/>
      <c r="F999" s="309"/>
      <c r="G999" s="309"/>
      <c r="H999" s="309"/>
      <c r="I999" s="309"/>
      <c r="J999" s="309"/>
      <c r="K999" s="310"/>
      <c r="L999" s="309"/>
      <c r="M999" s="309"/>
      <c r="N999" s="309"/>
      <c r="O999" s="309"/>
      <c r="P999" s="309"/>
      <c r="Q999" s="309"/>
      <c r="R999" s="309"/>
      <c r="S999" s="309"/>
      <c r="T999" s="309"/>
      <c r="U999" s="309"/>
      <c r="V999" s="309"/>
      <c r="W999" s="309"/>
      <c r="X999" s="309"/>
      <c r="Y999" s="309"/>
      <c r="Z999" s="309"/>
      <c r="AA999" s="309"/>
      <c r="AB999" s="309"/>
      <c r="AC999" s="309"/>
    </row>
    <row r="1000" spans="1:29" ht="12.75" customHeight="1">
      <c r="A1000" s="309"/>
      <c r="B1000" s="309"/>
      <c r="C1000" s="309"/>
      <c r="D1000" s="309"/>
      <c r="E1000" s="309"/>
      <c r="F1000" s="309"/>
      <c r="G1000" s="309"/>
      <c r="H1000" s="309"/>
      <c r="I1000" s="309"/>
      <c r="J1000" s="309"/>
      <c r="K1000" s="310"/>
      <c r="L1000" s="309"/>
      <c r="M1000" s="309"/>
      <c r="N1000" s="309"/>
      <c r="O1000" s="309"/>
      <c r="P1000" s="309"/>
      <c r="Q1000" s="309"/>
      <c r="R1000" s="309"/>
      <c r="S1000" s="309"/>
      <c r="T1000" s="309"/>
      <c r="U1000" s="309"/>
      <c r="V1000" s="309"/>
      <c r="W1000" s="309"/>
      <c r="X1000" s="309"/>
      <c r="Y1000" s="309"/>
      <c r="Z1000" s="309"/>
      <c r="AA1000" s="309"/>
      <c r="AB1000" s="309"/>
      <c r="AC1000" s="309"/>
    </row>
  </sheetData>
  <mergeCells count="18">
    <mergeCell ref="B1:E1"/>
    <mergeCell ref="F1:I1"/>
    <mergeCell ref="P1:R1"/>
    <mergeCell ref="S1:U1"/>
    <mergeCell ref="A135:I135"/>
    <mergeCell ref="A136:I136"/>
    <mergeCell ref="A137:I137"/>
    <mergeCell ref="A145:I145"/>
    <mergeCell ref="A146:I146"/>
    <mergeCell ref="A147:I147"/>
    <mergeCell ref="A148:I148"/>
    <mergeCell ref="A138:I138"/>
    <mergeCell ref="A139:I139"/>
    <mergeCell ref="A140:I140"/>
    <mergeCell ref="A141:I141"/>
    <mergeCell ref="A142:I142"/>
    <mergeCell ref="A143:I143"/>
    <mergeCell ref="A144:I144"/>
  </mergeCells>
  <pageMargins left="0" right="0" top="0.74803149606299213" bottom="0.74803149606299213" header="0" footer="0"/>
  <pageSetup paperSize="9" scale="8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1000"/>
  <sheetViews>
    <sheetView workbookViewId="0"/>
  </sheetViews>
  <sheetFormatPr defaultColWidth="14.42578125" defaultRowHeight="15" customHeight="1"/>
  <cols>
    <col min="1" max="1" width="3" customWidth="1"/>
    <col min="2" max="2" width="8.7109375" customWidth="1"/>
    <col min="3" max="3" width="42.7109375" customWidth="1"/>
    <col min="4" max="4" width="20.28515625" customWidth="1"/>
    <col min="5" max="5" width="21.28515625" customWidth="1"/>
    <col min="6" max="6" width="11.42578125" customWidth="1"/>
    <col min="7" max="7" width="12.5703125" customWidth="1"/>
    <col min="8" max="26" width="10.7109375" customWidth="1"/>
  </cols>
  <sheetData>
    <row r="2" spans="2:7">
      <c r="B2" s="1"/>
      <c r="C2" s="2"/>
      <c r="D2" s="2"/>
      <c r="E2" s="2"/>
      <c r="F2" s="3"/>
    </row>
    <row r="3" spans="2:7">
      <c r="B3" s="4"/>
      <c r="C3" s="5"/>
      <c r="D3" s="5"/>
      <c r="E3" s="5"/>
      <c r="F3" s="6"/>
    </row>
    <row r="4" spans="2:7">
      <c r="B4" s="4"/>
      <c r="C4" s="5"/>
      <c r="D4" s="5"/>
      <c r="E4" s="5"/>
      <c r="F4" s="6"/>
    </row>
    <row r="5" spans="2:7">
      <c r="B5" s="4"/>
      <c r="C5" s="5"/>
      <c r="D5" s="5"/>
      <c r="E5" s="5"/>
      <c r="F5" s="6"/>
    </row>
    <row r="6" spans="2:7">
      <c r="B6" s="7" t="s">
        <v>0</v>
      </c>
      <c r="C6" s="8"/>
      <c r="D6" s="8"/>
      <c r="E6" s="9"/>
      <c r="F6" s="10"/>
      <c r="G6" s="11"/>
    </row>
    <row r="7" spans="2:7">
      <c r="B7" s="7" t="s">
        <v>1</v>
      </c>
      <c r="C7" s="8"/>
      <c r="D7" s="8"/>
      <c r="E7" s="9"/>
      <c r="F7" s="10"/>
      <c r="G7" s="11"/>
    </row>
    <row r="8" spans="2:7" ht="15.75">
      <c r="B8" s="1015" t="s">
        <v>958</v>
      </c>
      <c r="C8" s="965"/>
      <c r="D8" s="965"/>
      <c r="E8" s="965"/>
      <c r="F8" s="966"/>
      <c r="G8" s="11"/>
    </row>
    <row r="9" spans="2:7" ht="15.75">
      <c r="B9" s="1015" t="s">
        <v>959</v>
      </c>
      <c r="C9" s="965"/>
      <c r="D9" s="965"/>
      <c r="E9" s="965"/>
      <c r="F9" s="966"/>
      <c r="G9" s="11"/>
    </row>
    <row r="10" spans="2:7" ht="15.75">
      <c r="B10" s="1015" t="s">
        <v>960</v>
      </c>
      <c r="C10" s="965"/>
      <c r="D10" s="965"/>
      <c r="E10" s="965"/>
      <c r="F10" s="966"/>
      <c r="G10" s="11"/>
    </row>
    <row r="11" spans="2:7" ht="15.75">
      <c r="B11" s="1015" t="s">
        <v>961</v>
      </c>
      <c r="C11" s="965"/>
      <c r="D11" s="965"/>
      <c r="E11" s="965"/>
      <c r="F11" s="966"/>
      <c r="G11" s="11"/>
    </row>
    <row r="12" spans="2:7" ht="15.75">
      <c r="B12" s="397" t="s">
        <v>962</v>
      </c>
      <c r="C12" s="398" t="s">
        <v>963</v>
      </c>
      <c r="D12" s="399" t="s">
        <v>964</v>
      </c>
      <c r="E12" s="399" t="s">
        <v>964</v>
      </c>
      <c r="F12" s="400"/>
      <c r="G12" s="11"/>
    </row>
    <row r="13" spans="2:7" ht="15.75">
      <c r="B13" s="401" t="s">
        <v>494</v>
      </c>
      <c r="C13" s="402" t="s">
        <v>965</v>
      </c>
      <c r="D13" s="403"/>
      <c r="E13" s="404"/>
      <c r="F13" s="405"/>
      <c r="G13" s="11"/>
    </row>
    <row r="14" spans="2:7" ht="15.75">
      <c r="B14" s="406"/>
      <c r="C14" s="407"/>
      <c r="D14" s="403"/>
      <c r="E14" s="404"/>
      <c r="F14" s="405"/>
      <c r="G14" s="11"/>
    </row>
    <row r="15" spans="2:7" ht="15.75">
      <c r="B15" s="406" t="s">
        <v>504</v>
      </c>
      <c r="C15" s="402" t="s">
        <v>966</v>
      </c>
      <c r="D15" s="403"/>
      <c r="E15" s="404"/>
      <c r="F15" s="405"/>
      <c r="G15" s="11"/>
    </row>
    <row r="16" spans="2:7" ht="15.75">
      <c r="B16" s="408"/>
      <c r="C16" s="407" t="s">
        <v>967</v>
      </c>
      <c r="D16" s="403"/>
      <c r="E16" s="404"/>
      <c r="F16" s="405"/>
      <c r="G16" s="11"/>
    </row>
    <row r="17" spans="2:7" ht="15.75">
      <c r="B17" s="408"/>
      <c r="C17" s="407" t="s">
        <v>968</v>
      </c>
      <c r="D17" s="403"/>
      <c r="E17" s="404"/>
      <c r="F17" s="405"/>
      <c r="G17" s="11"/>
    </row>
    <row r="18" spans="2:7" ht="15.75">
      <c r="B18" s="408"/>
      <c r="C18" s="407" t="s">
        <v>969</v>
      </c>
      <c r="D18" s="403"/>
      <c r="E18" s="404"/>
      <c r="F18" s="405"/>
      <c r="G18" s="46"/>
    </row>
    <row r="19" spans="2:7" ht="18" customHeight="1">
      <c r="B19" s="408"/>
      <c r="C19" s="409" t="s">
        <v>970</v>
      </c>
      <c r="D19" s="403"/>
      <c r="E19" s="404"/>
      <c r="F19" s="405"/>
      <c r="G19" s="11"/>
    </row>
    <row r="20" spans="2:7" ht="18" customHeight="1">
      <c r="B20" s="408"/>
      <c r="C20" s="409"/>
      <c r="D20" s="403"/>
      <c r="E20" s="404"/>
      <c r="F20" s="405"/>
      <c r="G20" s="11"/>
    </row>
    <row r="21" spans="2:7" ht="18" customHeight="1">
      <c r="B21" s="408"/>
      <c r="C21" s="409" t="s">
        <v>971</v>
      </c>
      <c r="D21" s="403"/>
      <c r="E21" s="404"/>
      <c r="F21" s="405"/>
      <c r="G21" s="11"/>
    </row>
    <row r="22" spans="2:7" ht="18" customHeight="1">
      <c r="B22" s="408"/>
      <c r="C22" s="409"/>
      <c r="D22" s="403"/>
      <c r="E22" s="404"/>
      <c r="F22" s="405"/>
      <c r="G22" s="11"/>
    </row>
    <row r="23" spans="2:7" ht="18" customHeight="1">
      <c r="B23" s="406" t="s">
        <v>972</v>
      </c>
      <c r="C23" s="409" t="s">
        <v>973</v>
      </c>
      <c r="D23" s="403"/>
      <c r="E23" s="404"/>
      <c r="F23" s="405"/>
      <c r="G23" s="11"/>
    </row>
    <row r="24" spans="2:7" ht="18" customHeight="1">
      <c r="B24" s="408" t="s">
        <v>974</v>
      </c>
      <c r="C24" s="410" t="s">
        <v>975</v>
      </c>
      <c r="D24" s="403"/>
      <c r="E24" s="404"/>
      <c r="F24" s="405"/>
      <c r="G24" s="11"/>
    </row>
    <row r="25" spans="2:7" ht="18" customHeight="1">
      <c r="B25" s="408" t="s">
        <v>976</v>
      </c>
      <c r="C25" s="410" t="s">
        <v>977</v>
      </c>
      <c r="D25" s="403"/>
      <c r="E25" s="404"/>
      <c r="F25" s="405"/>
      <c r="G25" s="11"/>
    </row>
    <row r="26" spans="2:7" ht="15.75" customHeight="1">
      <c r="B26" s="408" t="s">
        <v>978</v>
      </c>
      <c r="C26" s="407" t="s">
        <v>979</v>
      </c>
      <c r="D26" s="403"/>
      <c r="E26" s="404"/>
      <c r="F26" s="405"/>
      <c r="G26" s="11"/>
    </row>
    <row r="27" spans="2:7" ht="15.75" customHeight="1">
      <c r="B27" s="408" t="s">
        <v>980</v>
      </c>
      <c r="C27" s="407" t="s">
        <v>981</v>
      </c>
      <c r="D27" s="403"/>
      <c r="E27" s="404"/>
      <c r="F27" s="405"/>
      <c r="G27" s="11"/>
    </row>
    <row r="28" spans="2:7" ht="15.75" customHeight="1">
      <c r="B28" s="408" t="s">
        <v>982</v>
      </c>
      <c r="C28" s="407" t="s">
        <v>983</v>
      </c>
      <c r="D28" s="403"/>
      <c r="E28" s="404"/>
      <c r="F28" s="405"/>
      <c r="G28" s="11"/>
    </row>
    <row r="29" spans="2:7" ht="15.75" customHeight="1">
      <c r="B29" s="408" t="s">
        <v>984</v>
      </c>
      <c r="C29" s="407" t="s">
        <v>985</v>
      </c>
      <c r="D29" s="403"/>
      <c r="E29" s="404"/>
      <c r="F29" s="405"/>
      <c r="G29" s="11"/>
    </row>
    <row r="30" spans="2:7" ht="15.75" customHeight="1">
      <c r="B30" s="408" t="s">
        <v>986</v>
      </c>
      <c r="C30" s="407" t="s">
        <v>987</v>
      </c>
      <c r="D30" s="403"/>
      <c r="E30" s="404"/>
      <c r="F30" s="405"/>
      <c r="G30" s="11"/>
    </row>
    <row r="31" spans="2:7" ht="15.75" customHeight="1">
      <c r="B31" s="408" t="s">
        <v>988</v>
      </c>
      <c r="C31" s="407" t="s">
        <v>989</v>
      </c>
      <c r="D31" s="403"/>
      <c r="E31" s="404"/>
      <c r="F31" s="405"/>
      <c r="G31" s="11"/>
    </row>
    <row r="32" spans="2:7" ht="15.75" customHeight="1">
      <c r="B32" s="408"/>
      <c r="C32" s="402"/>
      <c r="D32" s="403"/>
      <c r="E32" s="404"/>
      <c r="F32" s="405"/>
      <c r="G32" s="11"/>
    </row>
    <row r="33" spans="2:7" ht="15.75" customHeight="1">
      <c r="B33" s="408"/>
      <c r="C33" s="409" t="s">
        <v>990</v>
      </c>
      <c r="D33" s="403"/>
      <c r="E33" s="404"/>
      <c r="F33" s="405"/>
      <c r="G33" s="11"/>
    </row>
    <row r="34" spans="2:7" ht="15.75" customHeight="1">
      <c r="B34" s="408"/>
      <c r="C34" s="407"/>
      <c r="D34" s="403"/>
      <c r="E34" s="404"/>
      <c r="F34" s="405"/>
      <c r="G34" s="11"/>
    </row>
    <row r="35" spans="2:7" ht="15.75" customHeight="1">
      <c r="B35" s="163"/>
      <c r="C35" s="411" t="s">
        <v>991</v>
      </c>
      <c r="D35" s="165"/>
      <c r="E35" s="166"/>
      <c r="F35" s="412"/>
      <c r="G35" s="11"/>
    </row>
    <row r="36" spans="2:7" ht="15.75" customHeight="1"/>
    <row r="37" spans="2:7" ht="15.75" customHeight="1">
      <c r="B37" s="413"/>
      <c r="C37" s="414"/>
      <c r="D37" s="414"/>
      <c r="E37" s="414"/>
      <c r="F37" s="415"/>
    </row>
    <row r="38" spans="2:7" ht="15.75" customHeight="1">
      <c r="B38" s="416" t="s">
        <v>992</v>
      </c>
      <c r="C38" s="417"/>
      <c r="D38" s="417"/>
      <c r="E38" s="417" t="s">
        <v>993</v>
      </c>
      <c r="F38" s="418"/>
    </row>
    <row r="39" spans="2:7" ht="15.75" customHeight="1">
      <c r="B39" s="416"/>
      <c r="C39" s="417"/>
      <c r="D39" s="417"/>
      <c r="E39" s="417"/>
      <c r="F39" s="418"/>
    </row>
    <row r="40" spans="2:7" ht="15.75" customHeight="1">
      <c r="B40" s="416"/>
      <c r="C40" s="417"/>
      <c r="D40" s="417"/>
      <c r="E40" s="417"/>
      <c r="F40" s="418"/>
    </row>
    <row r="41" spans="2:7" ht="15.75" customHeight="1">
      <c r="B41" s="416"/>
      <c r="C41" s="417"/>
      <c r="D41" s="417"/>
      <c r="E41" s="417"/>
      <c r="F41" s="418"/>
    </row>
    <row r="42" spans="2:7" ht="15.75" customHeight="1">
      <c r="B42" s="419" t="s">
        <v>994</v>
      </c>
      <c r="C42" s="420"/>
      <c r="D42" s="420"/>
      <c r="E42" s="420" t="s">
        <v>995</v>
      </c>
      <c r="F42" s="421"/>
    </row>
    <row r="43" spans="2:7" ht="15.75" customHeight="1"/>
    <row r="44" spans="2:7" ht="15.75" customHeight="1"/>
    <row r="45" spans="2:7" ht="15.75" customHeight="1"/>
    <row r="46" spans="2:7" ht="15.75" customHeight="1"/>
    <row r="47" spans="2:7" ht="15.75" customHeight="1"/>
    <row r="48" spans="2: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8:F8"/>
    <mergeCell ref="B9:F9"/>
    <mergeCell ref="B10:F10"/>
    <mergeCell ref="B11:F11"/>
  </mergeCells>
  <pageMargins left="0" right="0" top="0.74803149606299213" bottom="0.74803149606299213" header="0" footer="0"/>
  <pageSetup paperSize="9" scale="9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G1000"/>
  <sheetViews>
    <sheetView workbookViewId="0"/>
  </sheetViews>
  <sheetFormatPr defaultColWidth="14.42578125" defaultRowHeight="15" customHeight="1"/>
  <cols>
    <col min="1" max="1" width="3" customWidth="1"/>
    <col min="2" max="2" width="8.7109375" customWidth="1"/>
    <col min="3" max="3" width="42.7109375" customWidth="1"/>
    <col min="4" max="4" width="20.28515625" customWidth="1"/>
    <col min="5" max="5" width="21.28515625" customWidth="1"/>
    <col min="6" max="6" width="11.42578125" customWidth="1"/>
    <col min="7" max="7" width="12.5703125" customWidth="1"/>
    <col min="8" max="26" width="10.7109375" customWidth="1"/>
  </cols>
  <sheetData>
    <row r="2" spans="2:7">
      <c r="B2" s="1"/>
      <c r="C2" s="2"/>
      <c r="D2" s="2"/>
      <c r="E2" s="2"/>
      <c r="F2" s="3"/>
    </row>
    <row r="3" spans="2:7">
      <c r="B3" s="4"/>
      <c r="C3" s="5"/>
      <c r="D3" s="5"/>
      <c r="E3" s="5"/>
      <c r="F3" s="6"/>
    </row>
    <row r="4" spans="2:7">
      <c r="B4" s="4"/>
      <c r="C4" s="5"/>
      <c r="D4" s="5"/>
      <c r="E4" s="5"/>
      <c r="F4" s="6"/>
    </row>
    <row r="5" spans="2:7">
      <c r="B5" s="4"/>
      <c r="C5" s="5"/>
      <c r="D5" s="5"/>
      <c r="E5" s="5"/>
      <c r="F5" s="6"/>
    </row>
    <row r="6" spans="2:7">
      <c r="B6" s="7" t="s">
        <v>0</v>
      </c>
      <c r="C6" s="8"/>
      <c r="D6" s="8"/>
      <c r="E6" s="9"/>
      <c r="F6" s="10"/>
      <c r="G6" s="11"/>
    </row>
    <row r="7" spans="2:7">
      <c r="B7" s="7" t="s">
        <v>1</v>
      </c>
      <c r="C7" s="8"/>
      <c r="D7" s="8"/>
      <c r="E7" s="9"/>
      <c r="F7" s="10"/>
      <c r="G7" s="11"/>
    </row>
    <row r="8" spans="2:7" ht="15.75">
      <c r="B8" s="1015" t="s">
        <v>958</v>
      </c>
      <c r="C8" s="965"/>
      <c r="D8" s="965"/>
      <c r="E8" s="965"/>
      <c r="F8" s="966"/>
      <c r="G8" s="11"/>
    </row>
    <row r="9" spans="2:7" ht="15.75">
      <c r="B9" s="1015" t="s">
        <v>959</v>
      </c>
      <c r="C9" s="965"/>
      <c r="D9" s="965"/>
      <c r="E9" s="965"/>
      <c r="F9" s="966"/>
      <c r="G9" s="11"/>
    </row>
    <row r="10" spans="2:7" ht="15.75">
      <c r="B10" s="1015" t="s">
        <v>996</v>
      </c>
      <c r="C10" s="965"/>
      <c r="D10" s="965"/>
      <c r="E10" s="965"/>
      <c r="F10" s="966"/>
      <c r="G10" s="11"/>
    </row>
    <row r="11" spans="2:7" ht="15.75">
      <c r="B11" s="1015" t="s">
        <v>961</v>
      </c>
      <c r="C11" s="965"/>
      <c r="D11" s="965"/>
      <c r="E11" s="965"/>
      <c r="F11" s="966"/>
      <c r="G11" s="11"/>
    </row>
    <row r="12" spans="2:7" ht="15.75">
      <c r="B12" s="397" t="s">
        <v>962</v>
      </c>
      <c r="C12" s="398" t="s">
        <v>963</v>
      </c>
      <c r="D12" s="399" t="s">
        <v>964</v>
      </c>
      <c r="E12" s="399" t="s">
        <v>964</v>
      </c>
      <c r="F12" s="422" t="s">
        <v>997</v>
      </c>
      <c r="G12" s="11"/>
    </row>
    <row r="13" spans="2:7" ht="15.75">
      <c r="B13" s="401" t="s">
        <v>494</v>
      </c>
      <c r="C13" s="402" t="s">
        <v>965</v>
      </c>
      <c r="D13" s="423">
        <f>'Bank XOF'!F15/655.957</f>
        <v>1352415.370214816</v>
      </c>
      <c r="E13" s="424"/>
      <c r="F13" s="405"/>
      <c r="G13" s="11"/>
    </row>
    <row r="14" spans="2:7" ht="15.75">
      <c r="B14" s="406"/>
      <c r="C14" s="407"/>
      <c r="D14" s="423"/>
      <c r="E14" s="424"/>
      <c r="F14" s="405"/>
      <c r="G14" s="11"/>
    </row>
    <row r="15" spans="2:7" ht="15.75">
      <c r="B15" s="406" t="s">
        <v>504</v>
      </c>
      <c r="C15" s="402" t="s">
        <v>966</v>
      </c>
      <c r="D15" s="423"/>
      <c r="E15" s="424"/>
      <c r="F15" s="405"/>
      <c r="G15" s="11"/>
    </row>
    <row r="16" spans="2:7" ht="15.75">
      <c r="B16" s="408"/>
      <c r="C16" s="407" t="s">
        <v>967</v>
      </c>
      <c r="D16" s="423">
        <v>0</v>
      </c>
      <c r="E16" s="424"/>
      <c r="F16" s="405"/>
      <c r="G16" s="11"/>
    </row>
    <row r="17" spans="2:7" ht="15.75">
      <c r="B17" s="408"/>
      <c r="C17" s="407" t="s">
        <v>968</v>
      </c>
      <c r="D17" s="423">
        <v>0</v>
      </c>
      <c r="E17" s="424"/>
      <c r="F17" s="405"/>
      <c r="G17" s="11"/>
    </row>
    <row r="18" spans="2:7" ht="15.75">
      <c r="B18" s="408"/>
      <c r="C18" s="407" t="s">
        <v>969</v>
      </c>
      <c r="D18" s="423">
        <v>0</v>
      </c>
      <c r="E18" s="424"/>
      <c r="F18" s="405"/>
      <c r="G18" s="46"/>
    </row>
    <row r="19" spans="2:7" ht="18" customHeight="1">
      <c r="B19" s="408"/>
      <c r="C19" s="409" t="s">
        <v>970</v>
      </c>
      <c r="D19" s="425">
        <v>0</v>
      </c>
      <c r="E19" s="424"/>
      <c r="F19" s="405"/>
      <c r="G19" s="11"/>
    </row>
    <row r="20" spans="2:7" ht="18" customHeight="1">
      <c r="B20" s="408"/>
      <c r="C20" s="409"/>
      <c r="D20" s="423"/>
      <c r="E20" s="424"/>
      <c r="F20" s="405"/>
      <c r="G20" s="11"/>
    </row>
    <row r="21" spans="2:7" ht="18" customHeight="1">
      <c r="B21" s="408"/>
      <c r="C21" s="409" t="s">
        <v>971</v>
      </c>
      <c r="D21" s="425">
        <f>D13+D19</f>
        <v>1352415.370214816</v>
      </c>
      <c r="E21" s="424"/>
      <c r="F21" s="426">
        <f>D21/D21</f>
        <v>1</v>
      </c>
      <c r="G21" s="11"/>
    </row>
    <row r="22" spans="2:7" ht="18" customHeight="1">
      <c r="B22" s="408"/>
      <c r="C22" s="409"/>
      <c r="D22" s="423"/>
      <c r="E22" s="424"/>
      <c r="F22" s="427"/>
      <c r="G22" s="11"/>
    </row>
    <row r="23" spans="2:7" ht="18" customHeight="1">
      <c r="B23" s="406" t="s">
        <v>972</v>
      </c>
      <c r="C23" s="409" t="s">
        <v>973</v>
      </c>
      <c r="D23" s="423"/>
      <c r="E23" s="424"/>
      <c r="F23" s="427"/>
      <c r="G23" s="11"/>
    </row>
    <row r="24" spans="2:7" ht="18" customHeight="1">
      <c r="B24" s="408" t="s">
        <v>974</v>
      </c>
      <c r="C24" s="410" t="s">
        <v>998</v>
      </c>
      <c r="D24" s="423"/>
      <c r="E24" s="428">
        <f>('Bank XOF'!G13+'Bank XOF'!G14+'Bank XOF'!G16)/655.957</f>
        <v>32.380171261225968</v>
      </c>
      <c r="F24" s="427"/>
      <c r="G24" s="11"/>
    </row>
    <row r="25" spans="2:7" ht="18" customHeight="1">
      <c r="B25" s="408" t="s">
        <v>976</v>
      </c>
      <c r="C25" s="410" t="s">
        <v>999</v>
      </c>
      <c r="D25" s="423"/>
      <c r="E25" s="428">
        <f>('Bank XOF'!G17+'Bank XOF'!G23+'Bank XOF'!G28+'Bank XOF'!G29+'Bank XOF'!G30+'Bank XOF'!G31+'Bank XOF'!G32+'Bank XOF'!G33+'Bank XOF'!G34+'Bank XOF'!G35+'Bank XOF'!G36+'Bank XOF'!G37)/655.957</f>
        <v>32491.492582593066</v>
      </c>
      <c r="F25" s="427"/>
      <c r="G25" s="11"/>
    </row>
    <row r="26" spans="2:7" ht="15.75" customHeight="1">
      <c r="B26" s="408" t="s">
        <v>978</v>
      </c>
      <c r="C26" s="407" t="s">
        <v>1000</v>
      </c>
      <c r="D26" s="423"/>
      <c r="E26" s="428">
        <f>('Bank XOF'!G42+'Bank XOF'!G43+'Bank XOF'!G44+'Bank XOF'!G45+'Bank XOF'!G46+'Bank XOF'!G47+'Bank XOF'!G48+'Bank XOF'!G49+'Bank XOF'!G50+'Bank XOF'!G51+'Bank XOF'!G52+'Bank XOF'!G53+'Bank XOF'!G54+'Bank XOF'!G55+'Bank XOF'!G56+'Bank XOF'!G57+'Bank XOF'!G58+'Bank XOF'!G59+'Bank XOF'!G60+'Bank XOF'!G61+'Bank XOF'!G62+'Bank XOF'!G63+'Bank XOF'!G64+'Bank XOF'!G65+'Bank XOF'!G66+'Bank XOF'!G67+'Bank XOF'!G68+'Bank XOF'!G69+'Bank XOF'!G70+'Bank XOF'!G71+'Bank XOF'!G72+'Bank XOF'!G73+'Bank XOF'!G74+'Bank XOF'!G75+'Bank XOF'!G76+'Bank XOF'!G77+'Bank XOF'!G78+'Bank XOF'!G79+'Bank XOF'!G80+'Bank XOF'!G81+'Bank XOF'!G82+'Bank XOF'!G83+'Bank XOF'!G84+'Bank XOF'!G85+'Bank XOF'!G86+'Bank XOF'!G87+'Bank XOF'!G88+'Bank XOF'!G89)/655.957 +('Bank XOF'!G145/655.957)+('Bank XOF'!G197/655.957)</f>
        <v>219165.782208285</v>
      </c>
      <c r="F26" s="427"/>
      <c r="G26" s="11"/>
    </row>
    <row r="27" spans="2:7" ht="15.75" customHeight="1">
      <c r="B27" s="408" t="s">
        <v>980</v>
      </c>
      <c r="C27" s="407" t="s">
        <v>1001</v>
      </c>
      <c r="D27" s="423"/>
      <c r="E27" s="428">
        <f>('Bank XOF'!G238/655.957)+('Bank XOF'!G284/655.957)</f>
        <v>101462.45104480934</v>
      </c>
      <c r="F27" s="427"/>
      <c r="G27" s="11"/>
    </row>
    <row r="28" spans="2:7" ht="15.75" customHeight="1">
      <c r="B28" s="408"/>
      <c r="C28" s="402"/>
      <c r="D28" s="423"/>
      <c r="E28" s="424"/>
      <c r="F28" s="427"/>
      <c r="G28" s="11"/>
    </row>
    <row r="29" spans="2:7" ht="15.75" customHeight="1">
      <c r="B29" s="408"/>
      <c r="C29" s="409" t="s">
        <v>990</v>
      </c>
      <c r="D29" s="423"/>
      <c r="E29" s="428">
        <f>SUM(E24:E28)</f>
        <v>353152.10600694863</v>
      </c>
      <c r="F29" s="426">
        <f>E29/D21</f>
        <v>0.26112695388167201</v>
      </c>
      <c r="G29" s="11"/>
    </row>
    <row r="30" spans="2:7" ht="15.75" customHeight="1">
      <c r="B30" s="408"/>
      <c r="C30" s="407"/>
      <c r="D30" s="423"/>
      <c r="E30" s="424"/>
      <c r="F30" s="427"/>
      <c r="G30" s="11"/>
    </row>
    <row r="31" spans="2:7" ht="15.75" customHeight="1">
      <c r="B31" s="163"/>
      <c r="C31" s="411" t="s">
        <v>991</v>
      </c>
      <c r="D31" s="429">
        <f>D21-E29</f>
        <v>999263.26420786732</v>
      </c>
      <c r="E31" s="430"/>
      <c r="F31" s="431">
        <f>D31/D21</f>
        <v>0.73887304611832794</v>
      </c>
      <c r="G31" s="11"/>
    </row>
    <row r="32" spans="2:7" ht="15.75" customHeight="1">
      <c r="D32" s="185"/>
      <c r="E32" s="185"/>
    </row>
    <row r="33" spans="2:6" ht="15.75" hidden="1" customHeight="1">
      <c r="B33" s="413"/>
      <c r="C33" s="414"/>
      <c r="D33" s="414"/>
      <c r="E33" s="414"/>
      <c r="F33" s="415"/>
    </row>
    <row r="34" spans="2:6" ht="15.75" hidden="1" customHeight="1">
      <c r="B34" s="416" t="s">
        <v>992</v>
      </c>
      <c r="C34" s="417"/>
      <c r="D34" s="417"/>
      <c r="E34" s="417" t="s">
        <v>993</v>
      </c>
      <c r="F34" s="418"/>
    </row>
    <row r="35" spans="2:6" ht="15.75" hidden="1" customHeight="1">
      <c r="B35" s="416"/>
      <c r="C35" s="417"/>
      <c r="D35" s="417"/>
      <c r="E35" s="417"/>
      <c r="F35" s="418"/>
    </row>
    <row r="36" spans="2:6" ht="15.75" hidden="1" customHeight="1">
      <c r="B36" s="416"/>
      <c r="C36" s="417"/>
      <c r="D36" s="417"/>
      <c r="E36" s="417"/>
      <c r="F36" s="418"/>
    </row>
    <row r="37" spans="2:6" ht="15.75" hidden="1" customHeight="1">
      <c r="B37" s="416"/>
      <c r="C37" s="417"/>
      <c r="D37" s="417"/>
      <c r="E37" s="417"/>
      <c r="F37" s="418"/>
    </row>
    <row r="38" spans="2:6" ht="15.75" hidden="1" customHeight="1">
      <c r="B38" s="419" t="s">
        <v>994</v>
      </c>
      <c r="C38" s="420"/>
      <c r="D38" s="420"/>
      <c r="E38" s="420" t="s">
        <v>995</v>
      </c>
      <c r="F38" s="421"/>
    </row>
    <row r="39" spans="2:6" ht="15.75" customHeight="1"/>
    <row r="40" spans="2:6" ht="15.75" customHeight="1">
      <c r="D40" s="88">
        <f>D31*655.957</f>
        <v>655473733</v>
      </c>
      <c r="E40" s="88">
        <f>E29*655.957</f>
        <v>231652596</v>
      </c>
    </row>
    <row r="41" spans="2:6" ht="15.75" customHeight="1">
      <c r="D41" s="88"/>
      <c r="E41" s="184"/>
    </row>
    <row r="42" spans="2:6" ht="15.75" customHeight="1">
      <c r="D42" s="88">
        <f>'Bank XOF'!G91+'Bank XOF'!G145+'Bank XOF'!G197+'Bank XOF'!G238+'Bank XOF'!G284</f>
        <v>231657596</v>
      </c>
      <c r="E42" s="88">
        <f>E40-D42</f>
        <v>-5000</v>
      </c>
    </row>
    <row r="43" spans="2:6" ht="15.75" customHeight="1">
      <c r="D43" s="88">
        <f>'Bank XOF'!G92+'Bank XOF'!G146+'Bank XOF'!G198+'Bank XOF'!G239+'Bank XOF'!G285</f>
        <v>353159.72845781047</v>
      </c>
      <c r="E43" s="88">
        <f>E42/655.957</f>
        <v>-7.6224508618705187</v>
      </c>
    </row>
    <row r="44" spans="2:6" ht="15.75" customHeight="1">
      <c r="D44" s="88"/>
    </row>
    <row r="45" spans="2:6" ht="15.75" customHeight="1">
      <c r="E45" s="88">
        <f>32</f>
        <v>32</v>
      </c>
    </row>
    <row r="46" spans="2:6" ht="15.75" customHeight="1">
      <c r="E46" s="88">
        <f>32491</f>
        <v>32491</v>
      </c>
    </row>
    <row r="47" spans="2:6" ht="15.75" customHeight="1">
      <c r="E47" s="88">
        <f>219166</f>
        <v>219166</v>
      </c>
    </row>
    <row r="48" spans="2:6" ht="15.75" customHeight="1">
      <c r="E48" s="88">
        <f>101462</f>
        <v>101462</v>
      </c>
    </row>
    <row r="49" spans="5:5" ht="15.75" customHeight="1">
      <c r="E49" s="88">
        <f>SUM(E45:E48)</f>
        <v>353151</v>
      </c>
    </row>
    <row r="50" spans="5:5" ht="15.75" customHeight="1">
      <c r="E50" s="88"/>
    </row>
    <row r="51" spans="5:5" ht="15.75" customHeight="1">
      <c r="E51" s="88"/>
    </row>
    <row r="52" spans="5:5" ht="15.75" customHeight="1"/>
    <row r="53" spans="5:5" ht="15.75" customHeight="1"/>
    <row r="54" spans="5:5" ht="15.75" customHeight="1"/>
    <row r="55" spans="5:5" ht="15.75" customHeight="1"/>
    <row r="56" spans="5:5" ht="15.75" customHeight="1"/>
    <row r="57" spans="5:5" ht="15.75" customHeight="1"/>
    <row r="58" spans="5:5" ht="15.75" customHeight="1"/>
    <row r="59" spans="5:5" ht="15.75" customHeight="1"/>
    <row r="60" spans="5:5" ht="15.75" customHeight="1"/>
    <row r="61" spans="5:5" ht="15.75" customHeight="1"/>
    <row r="62" spans="5:5" ht="15.75" customHeight="1"/>
    <row r="63" spans="5:5" ht="15.75" customHeight="1"/>
    <row r="64" spans="5: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8:F8"/>
    <mergeCell ref="B9:F9"/>
    <mergeCell ref="B10:F10"/>
    <mergeCell ref="B11:F11"/>
  </mergeCells>
  <pageMargins left="0" right="0" top="0.74803149606299213" bottom="0.74803149606299213" header="0" footer="0"/>
  <pageSetup paperSize="9" scale="9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G1000"/>
  <sheetViews>
    <sheetView workbookViewId="0"/>
  </sheetViews>
  <sheetFormatPr defaultColWidth="14.42578125" defaultRowHeight="15" customHeight="1"/>
  <cols>
    <col min="1" max="1" width="3" customWidth="1"/>
    <col min="2" max="2" width="8.7109375" customWidth="1"/>
    <col min="3" max="3" width="42.7109375" customWidth="1"/>
    <col min="4" max="4" width="20.28515625" customWidth="1"/>
    <col min="5" max="5" width="21.28515625" customWidth="1"/>
    <col min="6" max="6" width="11.42578125" customWidth="1"/>
    <col min="7" max="7" width="12.5703125" customWidth="1"/>
    <col min="8" max="26" width="10.7109375" customWidth="1"/>
  </cols>
  <sheetData>
    <row r="2" spans="2:7">
      <c r="B2" s="1"/>
      <c r="C2" s="2"/>
      <c r="D2" s="2"/>
      <c r="E2" s="2"/>
      <c r="F2" s="3"/>
    </row>
    <row r="3" spans="2:7">
      <c r="B3" s="4"/>
      <c r="C3" s="5"/>
      <c r="D3" s="5"/>
      <c r="E3" s="5"/>
      <c r="F3" s="6"/>
    </row>
    <row r="4" spans="2:7">
      <c r="B4" s="4"/>
      <c r="C4" s="5"/>
      <c r="D4" s="5"/>
      <c r="E4" s="5"/>
      <c r="F4" s="6"/>
    </row>
    <row r="5" spans="2:7">
      <c r="B5" s="4"/>
      <c r="C5" s="5"/>
      <c r="D5" s="5"/>
      <c r="E5" s="5"/>
      <c r="F5" s="6"/>
    </row>
    <row r="6" spans="2:7">
      <c r="B6" s="7" t="s">
        <v>0</v>
      </c>
      <c r="C6" s="8"/>
      <c r="D6" s="8"/>
      <c r="E6" s="9"/>
      <c r="F6" s="10"/>
      <c r="G6" s="11"/>
    </row>
    <row r="7" spans="2:7">
      <c r="B7" s="7" t="s">
        <v>1</v>
      </c>
      <c r="C7" s="8"/>
      <c r="D7" s="8"/>
      <c r="E7" s="9"/>
      <c r="F7" s="10"/>
      <c r="G7" s="11"/>
    </row>
    <row r="8" spans="2:7" ht="15.75">
      <c r="B8" s="1015" t="s">
        <v>958</v>
      </c>
      <c r="C8" s="965"/>
      <c r="D8" s="965"/>
      <c r="E8" s="965"/>
      <c r="F8" s="966"/>
      <c r="G8" s="11"/>
    </row>
    <row r="9" spans="2:7" ht="15.75">
      <c r="B9" s="1015" t="s">
        <v>959</v>
      </c>
      <c r="C9" s="965"/>
      <c r="D9" s="965"/>
      <c r="E9" s="965"/>
      <c r="F9" s="966"/>
      <c r="G9" s="11"/>
    </row>
    <row r="10" spans="2:7" ht="15.75">
      <c r="B10" s="1015" t="s">
        <v>1002</v>
      </c>
      <c r="C10" s="965"/>
      <c r="D10" s="965"/>
      <c r="E10" s="965"/>
      <c r="F10" s="966"/>
      <c r="G10" s="11"/>
    </row>
    <row r="11" spans="2:7" ht="15.75">
      <c r="B11" s="1015" t="s">
        <v>961</v>
      </c>
      <c r="C11" s="965"/>
      <c r="D11" s="965"/>
      <c r="E11" s="965"/>
      <c r="F11" s="966"/>
      <c r="G11" s="11"/>
    </row>
    <row r="12" spans="2:7" ht="15.75">
      <c r="B12" s="397" t="s">
        <v>962</v>
      </c>
      <c r="C12" s="398" t="s">
        <v>963</v>
      </c>
      <c r="D12" s="399" t="s">
        <v>964</v>
      </c>
      <c r="E12" s="399" t="s">
        <v>964</v>
      </c>
      <c r="F12" s="422" t="s">
        <v>997</v>
      </c>
      <c r="G12" s="11"/>
    </row>
    <row r="13" spans="2:7" ht="15.75">
      <c r="B13" s="401" t="s">
        <v>494</v>
      </c>
      <c r="C13" s="402" t="s">
        <v>965</v>
      </c>
      <c r="D13" s="423">
        <f>'Bank XOF'!F15/655.957</f>
        <v>1352415.370214816</v>
      </c>
      <c r="E13" s="424"/>
      <c r="F13" s="405"/>
      <c r="G13" s="11"/>
    </row>
    <row r="14" spans="2:7" ht="15.75">
      <c r="B14" s="406"/>
      <c r="C14" s="407"/>
      <c r="D14" s="423"/>
      <c r="E14" s="424"/>
      <c r="F14" s="405"/>
      <c r="G14" s="11"/>
    </row>
    <row r="15" spans="2:7" ht="15.75">
      <c r="B15" s="406" t="s">
        <v>504</v>
      </c>
      <c r="C15" s="402" t="s">
        <v>966</v>
      </c>
      <c r="D15" s="423"/>
      <c r="E15" s="424"/>
      <c r="F15" s="405"/>
      <c r="G15" s="11"/>
    </row>
    <row r="16" spans="2:7" ht="15.75">
      <c r="B16" s="408"/>
      <c r="C16" s="407" t="s">
        <v>967</v>
      </c>
      <c r="D16" s="423">
        <v>0</v>
      </c>
      <c r="E16" s="424"/>
      <c r="F16" s="405"/>
      <c r="G16" s="11"/>
    </row>
    <row r="17" spans="2:7" ht="15.75">
      <c r="B17" s="408"/>
      <c r="C17" s="407" t="s">
        <v>968</v>
      </c>
      <c r="D17" s="423">
        <v>0</v>
      </c>
      <c r="E17" s="424"/>
      <c r="F17" s="405"/>
      <c r="G17" s="11"/>
    </row>
    <row r="18" spans="2:7" ht="15.75">
      <c r="B18" s="408"/>
      <c r="C18" s="407" t="s">
        <v>969</v>
      </c>
      <c r="D18" s="423">
        <v>0</v>
      </c>
      <c r="E18" s="424"/>
      <c r="F18" s="405"/>
      <c r="G18" s="46"/>
    </row>
    <row r="19" spans="2:7" ht="18" customHeight="1">
      <c r="B19" s="408"/>
      <c r="C19" s="409" t="s">
        <v>970</v>
      </c>
      <c r="D19" s="425">
        <v>0</v>
      </c>
      <c r="E19" s="424"/>
      <c r="F19" s="405"/>
      <c r="G19" s="11"/>
    </row>
    <row r="20" spans="2:7" ht="18" customHeight="1">
      <c r="B20" s="408"/>
      <c r="C20" s="409"/>
      <c r="D20" s="423"/>
      <c r="E20" s="424"/>
      <c r="F20" s="405"/>
      <c r="G20" s="11"/>
    </row>
    <row r="21" spans="2:7" ht="18" customHeight="1">
      <c r="B21" s="408"/>
      <c r="C21" s="409" t="s">
        <v>971</v>
      </c>
      <c r="D21" s="425">
        <f>D13+D19</f>
        <v>1352415.370214816</v>
      </c>
      <c r="E21" s="424"/>
      <c r="F21" s="426">
        <f>D21/D21</f>
        <v>1</v>
      </c>
      <c r="G21" s="11"/>
    </row>
    <row r="22" spans="2:7" ht="18" customHeight="1">
      <c r="B22" s="408"/>
      <c r="C22" s="409"/>
      <c r="D22" s="423"/>
      <c r="E22" s="424"/>
      <c r="F22" s="427"/>
      <c r="G22" s="11"/>
    </row>
    <row r="23" spans="2:7" ht="18" customHeight="1">
      <c r="B23" s="406" t="s">
        <v>972</v>
      </c>
      <c r="C23" s="409" t="s">
        <v>973</v>
      </c>
      <c r="D23" s="423"/>
      <c r="E23" s="424"/>
      <c r="F23" s="427"/>
      <c r="G23" s="11"/>
    </row>
    <row r="24" spans="2:7" ht="18" customHeight="1">
      <c r="B24" s="408" t="s">
        <v>974</v>
      </c>
      <c r="C24" s="410" t="s">
        <v>998</v>
      </c>
      <c r="D24" s="423"/>
      <c r="E24" s="428">
        <f>('Bank XOF'!G13+'Bank XOF'!G14+'Bank XOF'!G16)/655.957</f>
        <v>32.380171261225968</v>
      </c>
      <c r="F24" s="427"/>
      <c r="G24" s="11"/>
    </row>
    <row r="25" spans="2:7" ht="18" customHeight="1">
      <c r="B25" s="408" t="s">
        <v>976</v>
      </c>
      <c r="C25" s="410" t="s">
        <v>999</v>
      </c>
      <c r="D25" s="423"/>
      <c r="E25" s="428">
        <f>32499</f>
        <v>32499</v>
      </c>
      <c r="F25" s="427"/>
      <c r="G25" s="11"/>
    </row>
    <row r="26" spans="2:7" ht="15.75" customHeight="1">
      <c r="B26" s="408" t="s">
        <v>978</v>
      </c>
      <c r="C26" s="407" t="s">
        <v>1000</v>
      </c>
      <c r="D26" s="423"/>
      <c r="E26" s="428">
        <f>('Bank XOF'!G42+'Bank XOF'!G43+'Bank XOF'!G44+'Bank XOF'!G45+'Bank XOF'!G46+'Bank XOF'!G47+'Bank XOF'!G48+'Bank XOF'!G49+'Bank XOF'!G50+'Bank XOF'!G51+'Bank XOF'!G52+'Bank XOF'!G53+'Bank XOF'!G54+'Bank XOF'!G55+'Bank XOF'!G56+'Bank XOF'!G57+'Bank XOF'!G58+'Bank XOF'!G59+'Bank XOF'!G60+'Bank XOF'!G61+'Bank XOF'!G62+'Bank XOF'!G63+'Bank XOF'!G64+'Bank XOF'!G65+'Bank XOF'!G66+'Bank XOF'!G67+'Bank XOF'!G68+'Bank XOF'!G69+'Bank XOF'!G70+'Bank XOF'!G71+'Bank XOF'!G72+'Bank XOF'!G73+'Bank XOF'!G74+'Bank XOF'!G75+'Bank XOF'!G76+'Bank XOF'!G77+'Bank XOF'!G78+'Bank XOF'!G79+'Bank XOF'!G80+'Bank XOF'!G81+'Bank XOF'!G82+'Bank XOF'!G83+'Bank XOF'!G84+'Bank XOF'!G85+'Bank XOF'!G86+'Bank XOF'!G87+'Bank XOF'!G88+'Bank XOF'!G89)/655.957 +('Bank XOF'!G145/655.957)+('Bank XOF'!G197/655.957)</f>
        <v>219165.782208285</v>
      </c>
      <c r="F26" s="427"/>
      <c r="G26" s="11"/>
    </row>
    <row r="27" spans="2:7" ht="15.75" customHeight="1">
      <c r="B27" s="408" t="s">
        <v>980</v>
      </c>
      <c r="C27" s="407" t="s">
        <v>1003</v>
      </c>
      <c r="D27" s="423"/>
      <c r="E27" s="428">
        <f>('Bank XOF'!G238/655.957)</f>
        <v>51406.250714604772</v>
      </c>
      <c r="F27" s="427"/>
      <c r="G27" s="11"/>
    </row>
    <row r="28" spans="2:7" ht="15.75" customHeight="1">
      <c r="B28" s="408"/>
      <c r="C28" s="402"/>
      <c r="D28" s="423"/>
      <c r="E28" s="424"/>
      <c r="F28" s="427"/>
      <c r="G28" s="11"/>
    </row>
    <row r="29" spans="2:7" ht="15.75" customHeight="1">
      <c r="B29" s="408"/>
      <c r="C29" s="409" t="s">
        <v>990</v>
      </c>
      <c r="D29" s="423"/>
      <c r="E29" s="428">
        <f>SUM(E24:E28)</f>
        <v>303103.41309415101</v>
      </c>
      <c r="F29" s="426">
        <f>E29/D21</f>
        <v>0.22412005939122567</v>
      </c>
      <c r="G29" s="11"/>
    </row>
    <row r="30" spans="2:7" ht="15.75" customHeight="1">
      <c r="B30" s="408"/>
      <c r="C30" s="407"/>
      <c r="D30" s="423"/>
      <c r="E30" s="424"/>
      <c r="F30" s="427"/>
      <c r="G30" s="11"/>
    </row>
    <row r="31" spans="2:7" ht="15.75" customHeight="1">
      <c r="B31" s="163"/>
      <c r="C31" s="411" t="s">
        <v>991</v>
      </c>
      <c r="D31" s="429">
        <f>D21-E29</f>
        <v>1049311.9571206649</v>
      </c>
      <c r="E31" s="430"/>
      <c r="F31" s="431">
        <f>D31/D21</f>
        <v>0.7758799406087743</v>
      </c>
      <c r="G31" s="11"/>
    </row>
    <row r="32" spans="2:7" ht="15.75" customHeight="1">
      <c r="D32" s="185"/>
      <c r="E32" s="185"/>
    </row>
    <row r="33" spans="2:6" ht="15.75" hidden="1" customHeight="1">
      <c r="B33" s="413"/>
      <c r="C33" s="414"/>
      <c r="D33" s="414"/>
      <c r="E33" s="414"/>
      <c r="F33" s="415"/>
    </row>
    <row r="34" spans="2:6" ht="15.75" hidden="1" customHeight="1">
      <c r="B34" s="416" t="s">
        <v>992</v>
      </c>
      <c r="C34" s="417"/>
      <c r="D34" s="417"/>
      <c r="E34" s="417" t="s">
        <v>993</v>
      </c>
      <c r="F34" s="418"/>
    </row>
    <row r="35" spans="2:6" ht="15.75" hidden="1" customHeight="1">
      <c r="B35" s="416"/>
      <c r="C35" s="417"/>
      <c r="D35" s="417"/>
      <c r="E35" s="417"/>
      <c r="F35" s="418"/>
    </row>
    <row r="36" spans="2:6" ht="15.75" hidden="1" customHeight="1">
      <c r="B36" s="416"/>
      <c r="C36" s="417"/>
      <c r="D36" s="417"/>
      <c r="E36" s="417"/>
      <c r="F36" s="418"/>
    </row>
    <row r="37" spans="2:6" ht="15.75" hidden="1" customHeight="1">
      <c r="B37" s="416"/>
      <c r="C37" s="417"/>
      <c r="D37" s="417"/>
      <c r="E37" s="417"/>
      <c r="F37" s="418"/>
    </row>
    <row r="38" spans="2:6" ht="15.75" hidden="1" customHeight="1">
      <c r="B38" s="419" t="s">
        <v>994</v>
      </c>
      <c r="C38" s="420"/>
      <c r="D38" s="420"/>
      <c r="E38" s="420" t="s">
        <v>995</v>
      </c>
      <c r="F38" s="421"/>
    </row>
    <row r="39" spans="2:6" ht="15.75" customHeight="1">
      <c r="D39" s="88"/>
    </row>
    <row r="40" spans="2:6" ht="15.75" customHeight="1">
      <c r="D40" s="88"/>
      <c r="E40" s="88"/>
    </row>
    <row r="41" spans="2:6" ht="15.75" customHeight="1">
      <c r="D41" s="88"/>
      <c r="E41" s="184"/>
    </row>
    <row r="42" spans="2:6" ht="15.75" customHeight="1">
      <c r="D42" s="88"/>
      <c r="E42" s="88"/>
    </row>
    <row r="43" spans="2:6" ht="15.75" customHeight="1">
      <c r="D43" s="88"/>
      <c r="E43" s="88"/>
    </row>
    <row r="44" spans="2:6" ht="15.75" customHeight="1">
      <c r="D44" s="88"/>
    </row>
    <row r="45" spans="2:6" ht="15.75" customHeight="1">
      <c r="E45" s="88"/>
    </row>
    <row r="46" spans="2:6" ht="15.75" customHeight="1">
      <c r="E46" s="88"/>
    </row>
    <row r="47" spans="2:6" ht="15.75" customHeight="1">
      <c r="E47" s="88"/>
    </row>
    <row r="48" spans="2:6" ht="15.75" customHeight="1">
      <c r="E48" s="88"/>
    </row>
    <row r="49" spans="5:5" ht="15.75" customHeight="1">
      <c r="E49" s="88"/>
    </row>
    <row r="50" spans="5:5" ht="15.75" customHeight="1">
      <c r="E50" s="88"/>
    </row>
    <row r="51" spans="5:5" ht="15.75" customHeight="1">
      <c r="E51" s="88"/>
    </row>
    <row r="52" spans="5:5" ht="15.75" customHeight="1"/>
    <row r="53" spans="5:5" ht="15.75" customHeight="1"/>
    <row r="54" spans="5:5" ht="15.75" customHeight="1"/>
    <row r="55" spans="5:5" ht="15.75" customHeight="1"/>
    <row r="56" spans="5:5" ht="15.75" customHeight="1"/>
    <row r="57" spans="5:5" ht="15.75" customHeight="1"/>
    <row r="58" spans="5:5" ht="15.75" customHeight="1"/>
    <row r="59" spans="5:5" ht="15.75" customHeight="1"/>
    <row r="60" spans="5:5" ht="15.75" customHeight="1"/>
    <row r="61" spans="5:5" ht="15.75" customHeight="1"/>
    <row r="62" spans="5:5" ht="15.75" customHeight="1"/>
    <row r="63" spans="5:5" ht="15.75" customHeight="1"/>
    <row r="64" spans="5: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8:F8"/>
    <mergeCell ref="B9:F9"/>
    <mergeCell ref="B10:F10"/>
    <mergeCell ref="B11:F11"/>
  </mergeCells>
  <pageMargins left="0" right="0" top="0.74803149606299213" bottom="0.74803149606299213" header="0" footer="0"/>
  <pageSetup paperSize="9" scale="9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1000"/>
  <sheetViews>
    <sheetView workbookViewId="0"/>
  </sheetViews>
  <sheetFormatPr defaultColWidth="14.42578125" defaultRowHeight="15" customHeight="1"/>
  <cols>
    <col min="1" max="1" width="9" customWidth="1"/>
    <col min="2" max="2" width="19.140625" customWidth="1"/>
    <col min="3" max="3" width="26" customWidth="1"/>
    <col min="4" max="4" width="7.7109375" customWidth="1"/>
    <col min="5" max="5" width="10.85546875" customWidth="1"/>
    <col min="6" max="6" width="9.85546875" customWidth="1"/>
    <col min="7" max="7" width="10" customWidth="1"/>
    <col min="8" max="8" width="10.7109375" customWidth="1"/>
    <col min="9" max="9" width="22.85546875" customWidth="1"/>
    <col min="10" max="10" width="9.140625" customWidth="1"/>
    <col min="11" max="26" width="10.7109375" customWidth="1"/>
  </cols>
  <sheetData>
    <row r="2" spans="1:10" ht="18">
      <c r="A2" s="1016" t="s">
        <v>1004</v>
      </c>
      <c r="B2" s="1017"/>
      <c r="C2" s="1017"/>
      <c r="D2" s="1017"/>
      <c r="E2" s="1017"/>
      <c r="F2" s="1017"/>
      <c r="G2" s="1017"/>
      <c r="H2" s="1017"/>
      <c r="I2" s="1018"/>
    </row>
    <row r="6" spans="1:10">
      <c r="A6" s="432" t="s">
        <v>0</v>
      </c>
      <c r="B6" s="432"/>
      <c r="C6" s="432"/>
      <c r="D6" s="11"/>
      <c r="E6" s="11"/>
      <c r="F6" s="11"/>
      <c r="G6" s="11"/>
      <c r="H6" s="11"/>
      <c r="I6" s="11"/>
      <c r="J6" s="11"/>
    </row>
    <row r="7" spans="1:10">
      <c r="A7" s="432" t="s">
        <v>1</v>
      </c>
      <c r="B7" s="432"/>
      <c r="C7" s="432"/>
      <c r="D7" s="11"/>
      <c r="E7" s="11"/>
      <c r="F7" s="11"/>
      <c r="G7" s="11"/>
      <c r="H7" s="11"/>
      <c r="I7" s="11"/>
      <c r="J7" s="11"/>
    </row>
    <row r="8" spans="1:10">
      <c r="A8" s="1019" t="s">
        <v>1005</v>
      </c>
      <c r="B8" s="942"/>
      <c r="C8" s="942"/>
      <c r="D8" s="942"/>
      <c r="E8" s="942"/>
      <c r="F8" s="942"/>
      <c r="G8" s="942"/>
      <c r="H8" s="942"/>
      <c r="I8" s="942"/>
      <c r="J8" s="11"/>
    </row>
    <row r="9" spans="1:10">
      <c r="A9" s="1020" t="s">
        <v>1006</v>
      </c>
      <c r="B9" s="942"/>
      <c r="C9" s="942"/>
      <c r="D9" s="942"/>
      <c r="E9" s="942"/>
      <c r="F9" s="942"/>
      <c r="G9" s="942"/>
      <c r="H9" s="942"/>
      <c r="I9" s="942"/>
      <c r="J9" s="11"/>
    </row>
    <row r="10" spans="1:10">
      <c r="A10" s="1019" t="s">
        <v>1007</v>
      </c>
      <c r="B10" s="942"/>
      <c r="C10" s="942"/>
      <c r="D10" s="942"/>
      <c r="E10" s="942"/>
      <c r="F10" s="942"/>
      <c r="G10" s="942"/>
      <c r="H10" s="942"/>
      <c r="I10" s="942"/>
      <c r="J10" s="11"/>
    </row>
    <row r="11" spans="1:10">
      <c r="A11" s="11"/>
      <c r="B11" s="11"/>
      <c r="C11" s="138"/>
      <c r="D11" s="11"/>
      <c r="E11" s="11"/>
      <c r="F11" s="11"/>
      <c r="G11" s="11"/>
      <c r="H11" s="11"/>
      <c r="I11" s="11"/>
      <c r="J11" s="11"/>
    </row>
    <row r="12" spans="1:10">
      <c r="A12" s="969" t="s">
        <v>4</v>
      </c>
      <c r="B12" s="969" t="s">
        <v>5</v>
      </c>
      <c r="C12" s="971" t="s">
        <v>6</v>
      </c>
      <c r="D12" s="969" t="s">
        <v>7</v>
      </c>
      <c r="E12" s="969" t="s">
        <v>8</v>
      </c>
      <c r="F12" s="961" t="s">
        <v>1008</v>
      </c>
      <c r="G12" s="935"/>
      <c r="H12" s="958"/>
      <c r="I12" s="969" t="s">
        <v>10</v>
      </c>
      <c r="J12" s="11"/>
    </row>
    <row r="13" spans="1:10" ht="24.75" customHeight="1">
      <c r="A13" s="970"/>
      <c r="B13" s="970"/>
      <c r="C13" s="970"/>
      <c r="D13" s="970"/>
      <c r="E13" s="970"/>
      <c r="F13" s="12" t="s">
        <v>11</v>
      </c>
      <c r="G13" s="12" t="s">
        <v>12</v>
      </c>
      <c r="H13" s="12" t="s">
        <v>13</v>
      </c>
      <c r="I13" s="970"/>
      <c r="J13" s="11"/>
    </row>
    <row r="14" spans="1:10">
      <c r="A14" s="17"/>
      <c r="B14" s="17"/>
      <c r="C14" s="434" t="s">
        <v>371</v>
      </c>
      <c r="D14" s="17"/>
      <c r="E14" s="17"/>
      <c r="F14" s="18"/>
      <c r="G14" s="19"/>
      <c r="H14" s="18">
        <v>0</v>
      </c>
      <c r="I14" s="17"/>
      <c r="J14" s="11"/>
    </row>
    <row r="15" spans="1:10" ht="16.5" customHeight="1">
      <c r="A15" s="148">
        <v>41949</v>
      </c>
      <c r="B15" s="148" t="s">
        <v>1009</v>
      </c>
      <c r="C15" s="17" t="s">
        <v>1010</v>
      </c>
      <c r="D15" s="435" t="s">
        <v>1011</v>
      </c>
      <c r="E15" s="24" t="s">
        <v>19</v>
      </c>
      <c r="F15" s="19"/>
      <c r="G15" s="147">
        <v>6000</v>
      </c>
      <c r="H15" s="147">
        <f t="shared" ref="H15:H29" si="0">H14+F15-G15</f>
        <v>-6000</v>
      </c>
      <c r="I15" s="17" t="s">
        <v>1012</v>
      </c>
      <c r="J15" s="11"/>
    </row>
    <row r="16" spans="1:10" ht="17.25" customHeight="1">
      <c r="A16" s="148">
        <v>41949</v>
      </c>
      <c r="B16" s="148" t="s">
        <v>1009</v>
      </c>
      <c r="C16" s="17" t="s">
        <v>1013</v>
      </c>
      <c r="D16" s="435" t="s">
        <v>1011</v>
      </c>
      <c r="E16" s="24" t="s">
        <v>19</v>
      </c>
      <c r="F16" s="19"/>
      <c r="G16" s="19">
        <v>1140</v>
      </c>
      <c r="H16" s="147">
        <f t="shared" si="0"/>
        <v>-7140</v>
      </c>
      <c r="I16" s="17" t="s">
        <v>1012</v>
      </c>
      <c r="J16" s="11"/>
    </row>
    <row r="17" spans="1:10" ht="16.5" customHeight="1">
      <c r="A17" s="148">
        <v>41975</v>
      </c>
      <c r="B17" s="148" t="s">
        <v>1014</v>
      </c>
      <c r="C17" s="17" t="s">
        <v>403</v>
      </c>
      <c r="D17" s="435" t="s">
        <v>1015</v>
      </c>
      <c r="E17" s="24" t="s">
        <v>26</v>
      </c>
      <c r="F17" s="19">
        <v>10000000</v>
      </c>
      <c r="G17" s="19"/>
      <c r="H17" s="147">
        <f t="shared" si="0"/>
        <v>9992860</v>
      </c>
      <c r="I17" s="17"/>
      <c r="J17" s="11"/>
    </row>
    <row r="18" spans="1:10" ht="39">
      <c r="A18" s="148">
        <v>41979</v>
      </c>
      <c r="B18" s="162" t="s">
        <v>423</v>
      </c>
      <c r="C18" s="34" t="s">
        <v>1016</v>
      </c>
      <c r="D18" s="436" t="s">
        <v>1017</v>
      </c>
      <c r="E18" s="24">
        <v>9062140</v>
      </c>
      <c r="F18" s="19"/>
      <c r="G18" s="19">
        <v>1005000</v>
      </c>
      <c r="H18" s="147">
        <f t="shared" si="0"/>
        <v>8987860</v>
      </c>
      <c r="I18" s="17" t="s">
        <v>1018</v>
      </c>
      <c r="J18" s="11"/>
    </row>
    <row r="19" spans="1:10" ht="26.25">
      <c r="A19" s="148">
        <v>41997</v>
      </c>
      <c r="B19" s="162" t="s">
        <v>88</v>
      </c>
      <c r="C19" s="17" t="s">
        <v>1019</v>
      </c>
      <c r="D19" s="435" t="s">
        <v>1020</v>
      </c>
      <c r="E19" s="24" t="s">
        <v>26</v>
      </c>
      <c r="F19" s="19"/>
      <c r="G19" s="19">
        <v>1276930</v>
      </c>
      <c r="H19" s="147">
        <f t="shared" si="0"/>
        <v>7710930</v>
      </c>
      <c r="I19" s="17" t="s">
        <v>421</v>
      </c>
      <c r="J19" s="11"/>
    </row>
    <row r="20" spans="1:10">
      <c r="A20" s="148">
        <v>41997</v>
      </c>
      <c r="B20" s="148" t="s">
        <v>42</v>
      </c>
      <c r="C20" s="17" t="s">
        <v>1019</v>
      </c>
      <c r="D20" s="435" t="s">
        <v>1020</v>
      </c>
      <c r="E20" s="24" t="s">
        <v>26</v>
      </c>
      <c r="F20" s="19"/>
      <c r="G20" s="19">
        <v>1475903</v>
      </c>
      <c r="H20" s="147">
        <f t="shared" si="0"/>
        <v>6235027</v>
      </c>
      <c r="I20" s="17" t="s">
        <v>422</v>
      </c>
      <c r="J20" s="11"/>
    </row>
    <row r="21" spans="1:10" ht="15.75" customHeight="1">
      <c r="A21" s="148">
        <v>41997</v>
      </c>
      <c r="B21" s="162" t="s">
        <v>423</v>
      </c>
      <c r="C21" s="17" t="s">
        <v>1019</v>
      </c>
      <c r="D21" s="435" t="s">
        <v>1020</v>
      </c>
      <c r="E21" s="24" t="s">
        <v>26</v>
      </c>
      <c r="F21" s="19"/>
      <c r="G21" s="19">
        <v>1803881</v>
      </c>
      <c r="H21" s="147">
        <f t="shared" si="0"/>
        <v>4431146</v>
      </c>
      <c r="I21" s="17" t="s">
        <v>425</v>
      </c>
      <c r="J21" s="11"/>
    </row>
    <row r="22" spans="1:10" ht="15.75" customHeight="1">
      <c r="A22" s="148">
        <v>41997</v>
      </c>
      <c r="B22" s="148" t="s">
        <v>426</v>
      </c>
      <c r="C22" s="17" t="s">
        <v>1019</v>
      </c>
      <c r="D22" s="435" t="s">
        <v>1020</v>
      </c>
      <c r="E22" s="24" t="s">
        <v>26</v>
      </c>
      <c r="F22" s="19"/>
      <c r="G22" s="19">
        <v>2295849</v>
      </c>
      <c r="H22" s="147">
        <f t="shared" si="0"/>
        <v>2135297</v>
      </c>
      <c r="I22" s="34" t="s">
        <v>427</v>
      </c>
      <c r="J22" s="11"/>
    </row>
    <row r="23" spans="1:10" ht="15.75" customHeight="1">
      <c r="A23" s="148">
        <v>41999</v>
      </c>
      <c r="B23" s="148" t="s">
        <v>426</v>
      </c>
      <c r="C23" s="34" t="s">
        <v>1021</v>
      </c>
      <c r="D23" s="435" t="s">
        <v>1022</v>
      </c>
      <c r="E23" s="24">
        <v>9062141</v>
      </c>
      <c r="F23" s="19"/>
      <c r="G23" s="19">
        <v>147590</v>
      </c>
      <c r="H23" s="147">
        <f t="shared" si="0"/>
        <v>1987707</v>
      </c>
      <c r="I23" s="17" t="s">
        <v>1023</v>
      </c>
      <c r="J23" s="11"/>
    </row>
    <row r="24" spans="1:10" ht="15.75" customHeight="1">
      <c r="A24" s="148">
        <v>42004</v>
      </c>
      <c r="B24" s="148" t="s">
        <v>101</v>
      </c>
      <c r="C24" s="17" t="s">
        <v>1024</v>
      </c>
      <c r="D24" s="435" t="s">
        <v>1025</v>
      </c>
      <c r="E24" s="24">
        <v>9062142</v>
      </c>
      <c r="F24" s="19"/>
      <c r="G24" s="19">
        <v>3150300</v>
      </c>
      <c r="H24" s="147">
        <f t="shared" si="0"/>
        <v>-1162593</v>
      </c>
      <c r="I24" s="34" t="s">
        <v>1026</v>
      </c>
      <c r="J24" s="11"/>
    </row>
    <row r="25" spans="1:10" ht="15.75" customHeight="1">
      <c r="A25" s="148">
        <v>42004</v>
      </c>
      <c r="B25" s="148" t="s">
        <v>101</v>
      </c>
      <c r="C25" s="17" t="s">
        <v>1024</v>
      </c>
      <c r="D25" s="435" t="s">
        <v>1027</v>
      </c>
      <c r="E25" s="24">
        <v>9062143</v>
      </c>
      <c r="F25" s="19"/>
      <c r="G25" s="19">
        <v>1199300</v>
      </c>
      <c r="H25" s="147">
        <f t="shared" si="0"/>
        <v>-2361893</v>
      </c>
      <c r="I25" s="34" t="s">
        <v>1026</v>
      </c>
      <c r="J25" s="11"/>
    </row>
    <row r="26" spans="1:10" ht="15.75" customHeight="1">
      <c r="A26" s="148">
        <v>42004</v>
      </c>
      <c r="B26" s="148" t="s">
        <v>1009</v>
      </c>
      <c r="C26" s="17" t="s">
        <v>1010</v>
      </c>
      <c r="D26" s="435" t="s">
        <v>1028</v>
      </c>
      <c r="E26" s="24" t="s">
        <v>19</v>
      </c>
      <c r="F26" s="19"/>
      <c r="G26" s="19">
        <v>6000</v>
      </c>
      <c r="H26" s="147">
        <f t="shared" si="0"/>
        <v>-2367893</v>
      </c>
      <c r="I26" s="17" t="s">
        <v>1012</v>
      </c>
      <c r="J26" s="11"/>
    </row>
    <row r="27" spans="1:10" ht="15.75" customHeight="1">
      <c r="A27" s="148">
        <v>42004</v>
      </c>
      <c r="B27" s="148" t="s">
        <v>1009</v>
      </c>
      <c r="C27" s="17" t="s">
        <v>1013</v>
      </c>
      <c r="D27" s="435" t="s">
        <v>1028</v>
      </c>
      <c r="E27" s="24" t="s">
        <v>19</v>
      </c>
      <c r="F27" s="19"/>
      <c r="G27" s="19">
        <v>1140</v>
      </c>
      <c r="H27" s="147">
        <f t="shared" si="0"/>
        <v>-2369033</v>
      </c>
      <c r="I27" s="17" t="s">
        <v>1012</v>
      </c>
      <c r="J27" s="11"/>
    </row>
    <row r="28" spans="1:10" ht="15.75" customHeight="1">
      <c r="A28" s="148">
        <v>42004</v>
      </c>
      <c r="B28" s="148" t="s">
        <v>1009</v>
      </c>
      <c r="C28" s="17" t="s">
        <v>1029</v>
      </c>
      <c r="D28" s="435" t="s">
        <v>1028</v>
      </c>
      <c r="E28" s="24" t="s">
        <v>19</v>
      </c>
      <c r="F28" s="19"/>
      <c r="G28" s="19">
        <v>419</v>
      </c>
      <c r="H28" s="147">
        <f t="shared" si="0"/>
        <v>-2369452</v>
      </c>
      <c r="I28" s="17" t="s">
        <v>1012</v>
      </c>
      <c r="J28" s="11"/>
    </row>
    <row r="29" spans="1:10" ht="15.75" customHeight="1">
      <c r="A29" s="148">
        <v>42004</v>
      </c>
      <c r="B29" s="148" t="s">
        <v>1009</v>
      </c>
      <c r="C29" s="17" t="s">
        <v>1030</v>
      </c>
      <c r="D29" s="435" t="s">
        <v>1028</v>
      </c>
      <c r="E29" s="24" t="s">
        <v>19</v>
      </c>
      <c r="F29" s="19"/>
      <c r="G29" s="19">
        <v>80</v>
      </c>
      <c r="H29" s="147">
        <f t="shared" si="0"/>
        <v>-2369532</v>
      </c>
      <c r="I29" s="17" t="s">
        <v>1012</v>
      </c>
      <c r="J29" s="11"/>
    </row>
    <row r="30" spans="1:10" ht="15.75" customHeight="1">
      <c r="A30" s="17"/>
      <c r="B30" s="17"/>
      <c r="C30" s="434" t="s">
        <v>1031</v>
      </c>
      <c r="D30" s="17"/>
      <c r="E30" s="17"/>
      <c r="F30" s="18">
        <f t="shared" ref="F30:G30" si="1">SUM(F14:F29)</f>
        <v>10000000</v>
      </c>
      <c r="G30" s="18">
        <f t="shared" si="1"/>
        <v>12369532</v>
      </c>
      <c r="H30" s="437">
        <f>H29</f>
        <v>-2369532</v>
      </c>
      <c r="I30" s="17"/>
      <c r="J30" s="11"/>
    </row>
    <row r="31" spans="1:10" ht="15.75" customHeight="1">
      <c r="A31" s="11"/>
      <c r="B31" s="11"/>
      <c r="C31" s="138"/>
      <c r="D31" s="11"/>
      <c r="E31" s="11"/>
      <c r="F31" s="438"/>
      <c r="G31" s="438"/>
      <c r="H31" s="439"/>
      <c r="I31" s="11"/>
      <c r="J31" s="11"/>
    </row>
    <row r="32" spans="1:10" ht="15.75" customHeight="1">
      <c r="A32" s="11" t="s">
        <v>1032</v>
      </c>
      <c r="B32" s="11"/>
      <c r="C32" s="11"/>
      <c r="D32" s="11"/>
      <c r="E32" s="11"/>
      <c r="F32" s="46"/>
      <c r="G32" s="46" t="s">
        <v>1033</v>
      </c>
      <c r="H32" s="440"/>
      <c r="I32" s="11"/>
      <c r="J32" s="11"/>
    </row>
    <row r="33" spans="1:10" ht="15.75" customHeight="1">
      <c r="A33" s="11"/>
      <c r="B33" s="11"/>
      <c r="C33" s="11"/>
      <c r="D33" s="11"/>
      <c r="E33" s="11"/>
      <c r="F33" s="46"/>
      <c r="G33" s="46"/>
      <c r="H33" s="440"/>
      <c r="I33" s="11"/>
      <c r="J33" s="11"/>
    </row>
    <row r="34" spans="1:10" ht="15.75" customHeight="1">
      <c r="A34" s="11"/>
      <c r="B34" s="11"/>
      <c r="C34" s="11"/>
      <c r="D34" s="11"/>
      <c r="E34" s="11"/>
      <c r="F34" s="46"/>
      <c r="G34" s="46"/>
      <c r="H34" s="440"/>
      <c r="I34" s="11"/>
      <c r="J34" s="11"/>
    </row>
    <row r="35" spans="1:10" ht="15.75" customHeight="1">
      <c r="A35" s="169" t="s">
        <v>149</v>
      </c>
      <c r="B35" s="169"/>
      <c r="C35" s="169"/>
      <c r="D35" s="169"/>
      <c r="E35" s="169"/>
      <c r="F35" s="169"/>
      <c r="G35" s="169" t="s">
        <v>1034</v>
      </c>
      <c r="H35" s="169"/>
      <c r="I35" s="169"/>
      <c r="J35" s="169"/>
    </row>
    <row r="36" spans="1:10" ht="15.75" customHeight="1">
      <c r="C36" s="169"/>
      <c r="D36" s="169"/>
      <c r="E36" s="169"/>
      <c r="F36" s="441"/>
      <c r="G36" s="441"/>
      <c r="H36" s="169"/>
      <c r="I36" s="169"/>
      <c r="J36" s="169"/>
    </row>
    <row r="37" spans="1:10" ht="15.75" customHeight="1">
      <c r="A37" s="139"/>
      <c r="B37" s="169"/>
      <c r="C37" s="1021" t="s">
        <v>1035</v>
      </c>
      <c r="D37" s="942"/>
      <c r="E37" s="942"/>
      <c r="F37" s="942"/>
      <c r="G37" s="942"/>
      <c r="H37" s="169"/>
      <c r="I37" s="169"/>
      <c r="J37" s="169"/>
    </row>
    <row r="38" spans="1:10" ht="15.75" customHeight="1">
      <c r="C38" s="1021" t="s">
        <v>1036</v>
      </c>
      <c r="D38" s="942"/>
      <c r="E38" s="942"/>
      <c r="F38" s="942"/>
      <c r="G38" s="942"/>
    </row>
    <row r="39" spans="1:10" ht="15.75" customHeight="1"/>
    <row r="40" spans="1:10" ht="15.75" customHeight="1">
      <c r="C40" s="978" t="s">
        <v>429</v>
      </c>
      <c r="D40" s="171"/>
      <c r="E40" s="170" t="s">
        <v>430</v>
      </c>
      <c r="F40" s="170" t="s">
        <v>430</v>
      </c>
      <c r="G40" s="80"/>
      <c r="H40" s="169"/>
    </row>
    <row r="41" spans="1:10" ht="15.75" customHeight="1">
      <c r="C41" s="970"/>
      <c r="D41" s="80"/>
      <c r="E41" s="12" t="s">
        <v>431</v>
      </c>
      <c r="F41" s="12" t="s">
        <v>432</v>
      </c>
      <c r="G41" s="80"/>
      <c r="H41" s="169"/>
    </row>
    <row r="42" spans="1:10" ht="15.75" customHeight="1">
      <c r="C42" s="17" t="s">
        <v>1037</v>
      </c>
      <c r="D42" s="17"/>
      <c r="E42" s="147">
        <v>50000</v>
      </c>
      <c r="F42" s="172">
        <f t="shared" ref="F42:F43" si="2">E42/655.957</f>
        <v>76.224508618705187</v>
      </c>
      <c r="G42" s="80"/>
      <c r="H42" s="169"/>
    </row>
    <row r="43" spans="1:10" ht="15.75" customHeight="1">
      <c r="C43" s="34" t="s">
        <v>1038</v>
      </c>
      <c r="D43" s="17"/>
      <c r="E43" s="147">
        <v>702455</v>
      </c>
      <c r="F43" s="172">
        <f t="shared" si="2"/>
        <v>1070.8857440350512</v>
      </c>
      <c r="G43" s="80"/>
      <c r="H43" s="169"/>
    </row>
    <row r="44" spans="1:10" ht="15.75" customHeight="1">
      <c r="C44" s="173" t="s">
        <v>434</v>
      </c>
      <c r="D44" s="80"/>
      <c r="E44" s="174">
        <f t="shared" ref="E44:F44" si="3">E42+E43</f>
        <v>752455</v>
      </c>
      <c r="F44" s="175">
        <f t="shared" si="3"/>
        <v>1147.1102526537563</v>
      </c>
      <c r="G44" s="80"/>
      <c r="H44" s="169"/>
    </row>
    <row r="45" spans="1:10" ht="15.75" customHeight="1">
      <c r="C45" s="442" t="s">
        <v>1039</v>
      </c>
      <c r="D45" s="80"/>
      <c r="E45" s="175">
        <f>1005000</f>
        <v>1005000</v>
      </c>
      <c r="F45" s="175">
        <f>E45/655.957</f>
        <v>1532.1126232359743</v>
      </c>
      <c r="G45" s="80"/>
      <c r="H45" s="169"/>
    </row>
    <row r="46" spans="1:10" ht="15.75" customHeight="1">
      <c r="C46" s="434" t="s">
        <v>1040</v>
      </c>
      <c r="D46" s="443"/>
      <c r="E46" s="175">
        <f t="shared" ref="E46:F46" si="4">E45-E44</f>
        <v>252545</v>
      </c>
      <c r="F46" s="175">
        <f t="shared" si="4"/>
        <v>385.00237058221796</v>
      </c>
      <c r="G46" s="443"/>
    </row>
    <row r="47" spans="1:10" ht="15.75" customHeight="1"/>
    <row r="48" spans="1: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C37:G37"/>
    <mergeCell ref="C38:G38"/>
    <mergeCell ref="C40:C41"/>
    <mergeCell ref="F12:H12"/>
    <mergeCell ref="I12:I13"/>
    <mergeCell ref="A2:I2"/>
    <mergeCell ref="A8:I8"/>
    <mergeCell ref="A9:I9"/>
    <mergeCell ref="A10:I10"/>
    <mergeCell ref="A12:A13"/>
    <mergeCell ref="B12:B13"/>
    <mergeCell ref="C12:C13"/>
    <mergeCell ref="D12:D13"/>
    <mergeCell ref="E12:E13"/>
  </mergeCells>
  <pageMargins left="0.7" right="0.7" top="0.75" bottom="0.7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5:J1000"/>
  <sheetViews>
    <sheetView workbookViewId="0"/>
  </sheetViews>
  <sheetFormatPr defaultColWidth="14.42578125" defaultRowHeight="15" customHeight="1"/>
  <cols>
    <col min="1" max="1" width="4.5703125" customWidth="1"/>
    <col min="2" max="2" width="35.28515625" customWidth="1"/>
    <col min="3" max="3" width="14" customWidth="1"/>
    <col min="4" max="4" width="12.5703125" customWidth="1"/>
    <col min="5" max="10" width="9.140625" customWidth="1"/>
    <col min="11" max="26" width="10.7109375" customWidth="1"/>
  </cols>
  <sheetData>
    <row r="5" spans="1:10">
      <c r="A5" s="432" t="s">
        <v>0</v>
      </c>
      <c r="B5" s="432"/>
      <c r="C5" s="432"/>
      <c r="D5" s="11"/>
      <c r="E5" s="11"/>
      <c r="F5" s="11"/>
      <c r="G5" s="11"/>
      <c r="H5" s="11"/>
      <c r="I5" s="11"/>
      <c r="J5" s="11"/>
    </row>
    <row r="6" spans="1:10">
      <c r="A6" s="432" t="s">
        <v>1</v>
      </c>
      <c r="B6" s="432"/>
      <c r="C6" s="432"/>
      <c r="D6" s="11"/>
      <c r="E6" s="11"/>
      <c r="F6" s="11"/>
      <c r="G6" s="11"/>
      <c r="H6" s="11"/>
      <c r="I6" s="11"/>
      <c r="J6" s="11"/>
    </row>
    <row r="7" spans="1:10">
      <c r="A7" s="432"/>
      <c r="B7" s="432"/>
      <c r="C7" s="432"/>
      <c r="D7" s="11"/>
      <c r="E7" s="11"/>
      <c r="F7" s="11"/>
      <c r="G7" s="11"/>
      <c r="H7" s="11"/>
      <c r="I7" s="11"/>
      <c r="J7" s="11"/>
    </row>
    <row r="8" spans="1:10" ht="16.5">
      <c r="A8" s="979" t="s">
        <v>1041</v>
      </c>
      <c r="B8" s="942"/>
      <c r="C8" s="942"/>
      <c r="D8" s="942"/>
      <c r="E8" s="942"/>
      <c r="F8" s="942"/>
      <c r="G8" s="942"/>
      <c r="H8" s="942"/>
      <c r="I8" s="942"/>
      <c r="J8" s="11"/>
    </row>
    <row r="9" spans="1:10">
      <c r="A9" s="1022" t="s">
        <v>1006</v>
      </c>
      <c r="B9" s="942"/>
      <c r="C9" s="942"/>
      <c r="D9" s="942"/>
      <c r="E9" s="942"/>
      <c r="F9" s="942"/>
      <c r="G9" s="942"/>
      <c r="H9" s="942"/>
      <c r="I9" s="942"/>
      <c r="J9" s="11"/>
    </row>
    <row r="10" spans="1:10">
      <c r="A10" s="1021" t="s">
        <v>1007</v>
      </c>
      <c r="B10" s="942"/>
      <c r="C10" s="942"/>
      <c r="D10" s="942"/>
      <c r="E10" s="942"/>
      <c r="F10" s="942"/>
      <c r="G10" s="942"/>
      <c r="H10" s="942"/>
      <c r="I10" s="942"/>
      <c r="J10" s="11"/>
    </row>
    <row r="11" spans="1:10">
      <c r="A11" s="11"/>
      <c r="B11" s="11"/>
      <c r="C11" s="138"/>
      <c r="D11" s="11"/>
      <c r="E11" s="11"/>
      <c r="F11" s="11"/>
      <c r="G11" s="11"/>
      <c r="H11" s="11"/>
      <c r="I11" s="11"/>
      <c r="J11" s="11"/>
    </row>
    <row r="12" spans="1:10" ht="31.5" customHeight="1">
      <c r="A12" s="1023" t="s">
        <v>1042</v>
      </c>
      <c r="B12" s="1023" t="s">
        <v>1043</v>
      </c>
      <c r="C12" s="1024" t="s">
        <v>1044</v>
      </c>
      <c r="D12" s="958"/>
      <c r="E12" s="1025" t="s">
        <v>1045</v>
      </c>
      <c r="F12" s="958"/>
      <c r="G12" s="169"/>
      <c r="H12" s="169"/>
      <c r="I12" s="169"/>
      <c r="J12" s="169"/>
    </row>
    <row r="13" spans="1:10" ht="21.75" customHeight="1">
      <c r="A13" s="970"/>
      <c r="B13" s="970"/>
      <c r="C13" s="445" t="s">
        <v>11</v>
      </c>
      <c r="D13" s="445" t="s">
        <v>12</v>
      </c>
      <c r="E13" s="445" t="s">
        <v>11</v>
      </c>
      <c r="F13" s="445" t="s">
        <v>12</v>
      </c>
      <c r="G13" s="441"/>
      <c r="H13" s="169"/>
      <c r="I13" s="169"/>
      <c r="J13" s="169"/>
    </row>
    <row r="14" spans="1:10" ht="24" customHeight="1">
      <c r="A14" s="263" t="s">
        <v>1046</v>
      </c>
      <c r="B14" s="263" t="s">
        <v>1047</v>
      </c>
      <c r="C14" s="446">
        <f>+'Bank CFA2014'!H30</f>
        <v>-2369532</v>
      </c>
      <c r="D14" s="446"/>
      <c r="E14" s="446"/>
      <c r="F14" s="446">
        <v>2127658</v>
      </c>
      <c r="G14" s="169"/>
      <c r="H14" s="169"/>
      <c r="I14" s="169"/>
      <c r="J14" s="169"/>
    </row>
    <row r="15" spans="1:10" ht="41.25" customHeight="1">
      <c r="A15" s="263" t="s">
        <v>1048</v>
      </c>
      <c r="B15" s="276" t="s">
        <v>1049</v>
      </c>
      <c r="C15" s="446"/>
      <c r="D15" s="446"/>
      <c r="E15" s="19">
        <v>147590</v>
      </c>
      <c r="F15" s="446"/>
    </row>
    <row r="16" spans="1:10" ht="36.75" customHeight="1">
      <c r="A16" s="263" t="s">
        <v>1050</v>
      </c>
      <c r="B16" s="276" t="s">
        <v>1051</v>
      </c>
      <c r="C16" s="446"/>
      <c r="D16" s="446"/>
      <c r="E16" s="19">
        <v>3150300</v>
      </c>
      <c r="F16" s="446"/>
    </row>
    <row r="17" spans="1:6" ht="36.75" customHeight="1">
      <c r="A17" s="263" t="s">
        <v>1052</v>
      </c>
      <c r="B17" s="276" t="s">
        <v>1053</v>
      </c>
      <c r="C17" s="446"/>
      <c r="D17" s="446"/>
      <c r="E17" s="19">
        <v>1199300</v>
      </c>
      <c r="F17" s="446"/>
    </row>
    <row r="18" spans="1:6" ht="37.5" hidden="1" customHeight="1">
      <c r="A18" s="263" t="s">
        <v>1054</v>
      </c>
      <c r="B18" s="276"/>
      <c r="C18" s="446"/>
      <c r="D18" s="446"/>
      <c r="E18" s="446"/>
      <c r="F18" s="446"/>
    </row>
    <row r="19" spans="1:6" ht="35.25" hidden="1" customHeight="1">
      <c r="A19" s="263" t="s">
        <v>1055</v>
      </c>
      <c r="B19" s="276"/>
      <c r="C19" s="446"/>
      <c r="D19" s="446"/>
      <c r="E19" s="446"/>
      <c r="F19" s="446"/>
    </row>
    <row r="20" spans="1:6" hidden="1">
      <c r="A20" s="263"/>
      <c r="B20" s="276"/>
      <c r="C20" s="446"/>
      <c r="D20" s="446"/>
      <c r="E20" s="446"/>
      <c r="F20" s="446"/>
    </row>
    <row r="21" spans="1:6" ht="24" customHeight="1">
      <c r="A21" s="263"/>
      <c r="B21" s="445" t="s">
        <v>1056</v>
      </c>
      <c r="C21" s="446"/>
      <c r="D21" s="447">
        <f>SUM(C14:C20)-SUM(D14:D20)</f>
        <v>-2369532</v>
      </c>
      <c r="E21" s="447">
        <f>SUM(F14:F20)-SUM(E14:E20)</f>
        <v>-2369532</v>
      </c>
      <c r="F21" s="446"/>
    </row>
    <row r="22" spans="1:6" ht="23.25" customHeight="1">
      <c r="A22" s="263"/>
      <c r="B22" s="445" t="s">
        <v>1057</v>
      </c>
      <c r="C22" s="446">
        <f t="shared" ref="C22:F22" si="0">SUM(C14:C21)</f>
        <v>-2369532</v>
      </c>
      <c r="D22" s="446">
        <f t="shared" si="0"/>
        <v>-2369532</v>
      </c>
      <c r="E22" s="446">
        <f t="shared" si="0"/>
        <v>2127658</v>
      </c>
      <c r="F22" s="446">
        <f t="shared" si="0"/>
        <v>2127658</v>
      </c>
    </row>
    <row r="23" spans="1:6" ht="15.75" customHeight="1"/>
    <row r="24" spans="1:6" ht="15.75" customHeight="1">
      <c r="B24" s="11" t="s">
        <v>1032</v>
      </c>
      <c r="C24" s="11"/>
      <c r="D24" s="11" t="s">
        <v>1033</v>
      </c>
      <c r="E24" s="11"/>
      <c r="F24" s="11"/>
    </row>
    <row r="25" spans="1:6" ht="15.75" customHeight="1">
      <c r="B25" s="11"/>
      <c r="C25" s="11"/>
      <c r="D25" s="11"/>
      <c r="E25" s="11"/>
      <c r="F25" s="11"/>
    </row>
    <row r="26" spans="1:6" ht="15.75" customHeight="1">
      <c r="B26" s="11"/>
      <c r="C26" s="11"/>
      <c r="D26" s="11"/>
      <c r="E26" s="11"/>
      <c r="F26" s="11"/>
    </row>
    <row r="27" spans="1:6" ht="15.75" customHeight="1">
      <c r="B27" s="11"/>
      <c r="C27" s="11"/>
      <c r="D27" s="11"/>
      <c r="E27" s="11"/>
      <c r="F27" s="11"/>
    </row>
    <row r="28" spans="1:6" ht="15.75" customHeight="1">
      <c r="B28" s="11" t="s">
        <v>149</v>
      </c>
      <c r="C28" s="11"/>
      <c r="D28" s="11" t="s">
        <v>1034</v>
      </c>
      <c r="E28" s="11"/>
      <c r="F28" s="11"/>
    </row>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9:I9"/>
    <mergeCell ref="A10:I10"/>
    <mergeCell ref="A12:A13"/>
    <mergeCell ref="B12:B13"/>
    <mergeCell ref="C12:D12"/>
    <mergeCell ref="E12:F12"/>
  </mergeCells>
  <pageMargins left="0.11811023622047245" right="0.11811023622047245" top="0.74803149606299213" bottom="0.74803149606299213"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K1000"/>
  <sheetViews>
    <sheetView workbookViewId="0"/>
  </sheetViews>
  <sheetFormatPr defaultColWidth="14.42578125" defaultRowHeight="15" customHeight="1"/>
  <cols>
    <col min="1" max="1" width="9" customWidth="1"/>
    <col min="2" max="2" width="20" customWidth="1"/>
    <col min="3" max="3" width="26" customWidth="1"/>
    <col min="4" max="4" width="8.5703125" customWidth="1"/>
    <col min="5" max="5" width="9.140625" customWidth="1"/>
    <col min="6" max="6" width="9.85546875" customWidth="1"/>
    <col min="7" max="7" width="10" customWidth="1"/>
    <col min="8" max="8" width="10.7109375" customWidth="1"/>
    <col min="9" max="9" width="22.5703125" customWidth="1"/>
    <col min="10" max="11" width="9.140625" customWidth="1"/>
    <col min="12" max="26" width="10.7109375" customWidth="1"/>
  </cols>
  <sheetData>
    <row r="2" spans="1:10" ht="18">
      <c r="A2" s="1016" t="s">
        <v>1004</v>
      </c>
      <c r="B2" s="1017"/>
      <c r="C2" s="1017"/>
      <c r="D2" s="1017"/>
      <c r="E2" s="1017"/>
      <c r="F2" s="1017"/>
      <c r="G2" s="1017"/>
      <c r="H2" s="1017"/>
      <c r="I2" s="1018"/>
    </row>
    <row r="6" spans="1:10">
      <c r="A6" s="432" t="s">
        <v>0</v>
      </c>
      <c r="B6" s="432"/>
      <c r="C6" s="432"/>
      <c r="D6" s="11"/>
      <c r="E6" s="11"/>
      <c r="F6" s="11"/>
      <c r="G6" s="11"/>
      <c r="H6" s="11"/>
      <c r="I6" s="11"/>
      <c r="J6" s="11"/>
    </row>
    <row r="7" spans="1:10">
      <c r="A7" s="432" t="s">
        <v>1</v>
      </c>
      <c r="B7" s="432"/>
      <c r="C7" s="432"/>
      <c r="D7" s="11"/>
      <c r="E7" s="11"/>
      <c r="F7" s="11"/>
      <c r="G7" s="11"/>
      <c r="H7" s="11"/>
      <c r="I7" s="11"/>
      <c r="J7" s="11"/>
    </row>
    <row r="8" spans="1:10">
      <c r="A8" s="1019" t="s">
        <v>1005</v>
      </c>
      <c r="B8" s="942"/>
      <c r="C8" s="942"/>
      <c r="D8" s="942"/>
      <c r="E8" s="942"/>
      <c r="F8" s="942"/>
      <c r="G8" s="942"/>
      <c r="H8" s="942"/>
      <c r="I8" s="942"/>
      <c r="J8" s="11"/>
    </row>
    <row r="9" spans="1:10">
      <c r="A9" s="1020" t="s">
        <v>1058</v>
      </c>
      <c r="B9" s="942"/>
      <c r="C9" s="942"/>
      <c r="D9" s="942"/>
      <c r="E9" s="942"/>
      <c r="F9" s="942"/>
      <c r="G9" s="942"/>
      <c r="H9" s="942"/>
      <c r="I9" s="942"/>
      <c r="J9" s="11"/>
    </row>
    <row r="10" spans="1:10">
      <c r="A10" s="1019" t="s">
        <v>1059</v>
      </c>
      <c r="B10" s="942"/>
      <c r="C10" s="942"/>
      <c r="D10" s="942"/>
      <c r="E10" s="942"/>
      <c r="F10" s="942"/>
      <c r="G10" s="942"/>
      <c r="H10" s="942"/>
      <c r="I10" s="942"/>
      <c r="J10" s="11"/>
    </row>
    <row r="11" spans="1:10">
      <c r="A11" s="11"/>
      <c r="B11" s="11"/>
      <c r="C11" s="138"/>
      <c r="D11" s="11"/>
      <c r="E11" s="11"/>
      <c r="F11" s="11"/>
      <c r="G11" s="11"/>
      <c r="H11" s="11"/>
      <c r="I11" s="11"/>
      <c r="J11" s="11"/>
    </row>
    <row r="12" spans="1:10">
      <c r="A12" s="969" t="s">
        <v>4</v>
      </c>
      <c r="B12" s="969" t="s">
        <v>5</v>
      </c>
      <c r="C12" s="971" t="s">
        <v>6</v>
      </c>
      <c r="D12" s="969" t="s">
        <v>7</v>
      </c>
      <c r="E12" s="969" t="s">
        <v>8</v>
      </c>
      <c r="F12" s="961" t="s">
        <v>1060</v>
      </c>
      <c r="G12" s="935"/>
      <c r="H12" s="958"/>
      <c r="I12" s="969" t="s">
        <v>10</v>
      </c>
      <c r="J12" s="11"/>
    </row>
    <row r="13" spans="1:10" ht="24.75" customHeight="1">
      <c r="A13" s="970"/>
      <c r="B13" s="970"/>
      <c r="C13" s="970"/>
      <c r="D13" s="970"/>
      <c r="E13" s="970"/>
      <c r="F13" s="12" t="s">
        <v>11</v>
      </c>
      <c r="G13" s="12" t="s">
        <v>12</v>
      </c>
      <c r="H13" s="12" t="s">
        <v>13</v>
      </c>
      <c r="I13" s="970"/>
      <c r="J13" s="11"/>
    </row>
    <row r="14" spans="1:10">
      <c r="A14" s="17"/>
      <c r="B14" s="17"/>
      <c r="C14" s="434" t="s">
        <v>371</v>
      </c>
      <c r="D14" s="17"/>
      <c r="E14" s="17"/>
      <c r="F14" s="18"/>
      <c r="G14" s="147"/>
      <c r="H14" s="437">
        <v>0</v>
      </c>
      <c r="I14" s="17"/>
      <c r="J14" s="11"/>
    </row>
    <row r="15" spans="1:10">
      <c r="A15" s="148">
        <v>41608</v>
      </c>
      <c r="B15" s="17" t="s">
        <v>1009</v>
      </c>
      <c r="C15" s="17" t="s">
        <v>1061</v>
      </c>
      <c r="D15" s="435" t="s">
        <v>1062</v>
      </c>
      <c r="E15" s="145" t="s">
        <v>19</v>
      </c>
      <c r="F15" s="437"/>
      <c r="G15" s="147">
        <v>9.15</v>
      </c>
      <c r="H15" s="147">
        <f t="shared" ref="H15:H25" si="0">+H14+F15-G15</f>
        <v>-9.15</v>
      </c>
      <c r="I15" s="17" t="s">
        <v>1012</v>
      </c>
      <c r="J15" s="11"/>
    </row>
    <row r="16" spans="1:10">
      <c r="A16" s="148">
        <v>41608</v>
      </c>
      <c r="B16" s="17" t="s">
        <v>1009</v>
      </c>
      <c r="C16" s="17" t="s">
        <v>1063</v>
      </c>
      <c r="D16" s="435" t="s">
        <v>1062</v>
      </c>
      <c r="E16" s="145" t="s">
        <v>19</v>
      </c>
      <c r="F16" s="437"/>
      <c r="G16" s="147">
        <v>1.74</v>
      </c>
      <c r="H16" s="147">
        <f t="shared" si="0"/>
        <v>-10.89</v>
      </c>
      <c r="I16" s="17" t="s">
        <v>1012</v>
      </c>
      <c r="J16" s="11"/>
    </row>
    <row r="17" spans="1:11" ht="20.25" customHeight="1">
      <c r="A17" s="148">
        <v>41936</v>
      </c>
      <c r="B17" s="434" t="s">
        <v>1064</v>
      </c>
      <c r="C17" s="17" t="s">
        <v>1065</v>
      </c>
      <c r="D17" s="435" t="s">
        <v>1066</v>
      </c>
      <c r="E17" s="145" t="s">
        <v>1067</v>
      </c>
      <c r="F17" s="437">
        <v>702069</v>
      </c>
      <c r="G17" s="147"/>
      <c r="H17" s="147">
        <f t="shared" si="0"/>
        <v>702058.11</v>
      </c>
      <c r="I17" s="17"/>
      <c r="J17" s="11"/>
    </row>
    <row r="18" spans="1:11" ht="39">
      <c r="A18" s="148">
        <v>41961</v>
      </c>
      <c r="B18" s="162" t="s">
        <v>1068</v>
      </c>
      <c r="C18" s="34" t="s">
        <v>1069</v>
      </c>
      <c r="D18" s="435" t="s">
        <v>1070</v>
      </c>
      <c r="E18" s="145">
        <v>9015835</v>
      </c>
      <c r="F18" s="147"/>
      <c r="G18" s="147">
        <v>720</v>
      </c>
      <c r="H18" s="147">
        <f t="shared" si="0"/>
        <v>701338.11</v>
      </c>
      <c r="I18" s="34" t="s">
        <v>1071</v>
      </c>
      <c r="J18" s="11"/>
    </row>
    <row r="19" spans="1:11" ht="26.25">
      <c r="A19" s="148">
        <v>41968</v>
      </c>
      <c r="B19" s="148" t="s">
        <v>426</v>
      </c>
      <c r="C19" s="34" t="s">
        <v>1072</v>
      </c>
      <c r="D19" s="435" t="s">
        <v>1073</v>
      </c>
      <c r="E19" s="145" t="s">
        <v>26</v>
      </c>
      <c r="F19" s="437"/>
      <c r="G19" s="147">
        <v>2450</v>
      </c>
      <c r="H19" s="147">
        <f t="shared" si="0"/>
        <v>698888.11</v>
      </c>
      <c r="I19" s="34" t="s">
        <v>427</v>
      </c>
      <c r="J19" s="11"/>
    </row>
    <row r="20" spans="1:11" ht="26.25">
      <c r="A20" s="148">
        <v>41968</v>
      </c>
      <c r="B20" s="162" t="s">
        <v>1068</v>
      </c>
      <c r="C20" s="34" t="s">
        <v>1074</v>
      </c>
      <c r="D20" s="435" t="s">
        <v>1075</v>
      </c>
      <c r="E20" s="145" t="s">
        <v>26</v>
      </c>
      <c r="F20" s="437"/>
      <c r="G20" s="147">
        <v>2383.33</v>
      </c>
      <c r="H20" s="147">
        <f t="shared" si="0"/>
        <v>696504.78</v>
      </c>
      <c r="I20" s="34" t="s">
        <v>1076</v>
      </c>
      <c r="J20" s="11"/>
    </row>
    <row r="21" spans="1:11" ht="27.75" customHeight="1">
      <c r="A21" s="148">
        <v>41977</v>
      </c>
      <c r="B21" s="148" t="s">
        <v>1014</v>
      </c>
      <c r="C21" s="34" t="s">
        <v>1077</v>
      </c>
      <c r="D21" s="435" t="s">
        <v>1078</v>
      </c>
      <c r="E21" s="145" t="s">
        <v>66</v>
      </c>
      <c r="F21" s="437">
        <v>690</v>
      </c>
      <c r="G21" s="147"/>
      <c r="H21" s="147">
        <f t="shared" si="0"/>
        <v>697194.78</v>
      </c>
      <c r="I21" s="17"/>
      <c r="J21" s="440"/>
    </row>
    <row r="22" spans="1:11" ht="24.75" customHeight="1">
      <c r="A22" s="148">
        <v>41981</v>
      </c>
      <c r="B22" s="148" t="s">
        <v>1014</v>
      </c>
      <c r="C22" s="17" t="s">
        <v>403</v>
      </c>
      <c r="D22" s="435" t="s">
        <v>1079</v>
      </c>
      <c r="E22" s="145" t="s">
        <v>26</v>
      </c>
      <c r="F22" s="147"/>
      <c r="G22" s="147">
        <v>15244.9</v>
      </c>
      <c r="H22" s="147">
        <f t="shared" si="0"/>
        <v>681949.88</v>
      </c>
      <c r="I22" s="17"/>
      <c r="J22" s="11"/>
    </row>
    <row r="23" spans="1:11" ht="17.25" customHeight="1">
      <c r="A23" s="148"/>
      <c r="B23" s="148" t="s">
        <v>46</v>
      </c>
      <c r="C23" s="17" t="s">
        <v>46</v>
      </c>
      <c r="D23" s="17"/>
      <c r="E23" s="145">
        <v>9015836</v>
      </c>
      <c r="F23" s="147"/>
      <c r="G23" s="147">
        <v>0</v>
      </c>
      <c r="H23" s="147">
        <f t="shared" si="0"/>
        <v>681949.88</v>
      </c>
      <c r="I23" s="17"/>
      <c r="J23" s="11"/>
    </row>
    <row r="24" spans="1:11" ht="39.75" customHeight="1">
      <c r="A24" s="148">
        <v>41982</v>
      </c>
      <c r="B24" s="162" t="s">
        <v>1068</v>
      </c>
      <c r="C24" s="34" t="s">
        <v>1080</v>
      </c>
      <c r="D24" s="435" t="s">
        <v>1081</v>
      </c>
      <c r="E24" s="145">
        <v>9015837</v>
      </c>
      <c r="F24" s="147"/>
      <c r="G24" s="147">
        <v>6300</v>
      </c>
      <c r="H24" s="147">
        <f t="shared" si="0"/>
        <v>675649.88</v>
      </c>
      <c r="I24" s="34" t="s">
        <v>1082</v>
      </c>
      <c r="J24" s="11"/>
    </row>
    <row r="25" spans="1:11" ht="35.25" customHeight="1">
      <c r="A25" s="148">
        <v>41992</v>
      </c>
      <c r="B25" s="148" t="s">
        <v>1014</v>
      </c>
      <c r="C25" s="34" t="s">
        <v>1083</v>
      </c>
      <c r="D25" s="435" t="s">
        <v>1084</v>
      </c>
      <c r="E25" s="145" t="s">
        <v>66</v>
      </c>
      <c r="F25" s="437">
        <v>3375</v>
      </c>
      <c r="G25" s="147"/>
      <c r="H25" s="147">
        <f t="shared" si="0"/>
        <v>679024.88</v>
      </c>
      <c r="I25" s="17"/>
      <c r="J25" s="11"/>
      <c r="K25" s="185"/>
    </row>
    <row r="26" spans="1:11" ht="18.75" customHeight="1">
      <c r="A26" s="17"/>
      <c r="B26" s="17"/>
      <c r="C26" s="434" t="s">
        <v>1031</v>
      </c>
      <c r="D26" s="17"/>
      <c r="E26" s="17"/>
      <c r="F26" s="437">
        <f t="shared" ref="F26:G26" si="1">SUM(F14:F25)</f>
        <v>706134</v>
      </c>
      <c r="G26" s="437">
        <f t="shared" si="1"/>
        <v>27109.119999999999</v>
      </c>
      <c r="H26" s="437">
        <f>H25</f>
        <v>679024.88</v>
      </c>
      <c r="I26" s="17"/>
      <c r="J26" s="11"/>
    </row>
    <row r="27" spans="1:11" ht="15.75" customHeight="1">
      <c r="A27" s="169"/>
      <c r="B27" s="169"/>
      <c r="C27" s="169"/>
      <c r="D27" s="169"/>
      <c r="E27" s="169"/>
      <c r="F27" s="169"/>
      <c r="G27" s="169"/>
      <c r="H27" s="169"/>
      <c r="I27" s="169"/>
      <c r="J27" s="169"/>
    </row>
    <row r="28" spans="1:11" ht="15.75" hidden="1" customHeight="1">
      <c r="A28" s="169"/>
      <c r="B28" s="169"/>
      <c r="C28" s="169"/>
      <c r="D28" s="169"/>
      <c r="E28" s="169"/>
      <c r="F28" s="441"/>
      <c r="G28" s="448"/>
      <c r="H28" s="169"/>
      <c r="I28" s="169"/>
      <c r="J28" s="169"/>
    </row>
    <row r="29" spans="1:11" ht="15.75" hidden="1" customHeight="1">
      <c r="A29" s="139" t="s">
        <v>145</v>
      </c>
      <c r="B29" s="169"/>
      <c r="C29" s="169"/>
      <c r="D29" s="169"/>
      <c r="E29" s="139"/>
      <c r="F29" s="169"/>
      <c r="G29" s="449"/>
      <c r="H29" s="450"/>
      <c r="I29" s="169"/>
      <c r="J29" s="169"/>
    </row>
    <row r="30" spans="1:11" ht="15.75" hidden="1" customHeight="1"/>
    <row r="31" spans="1:11" ht="15.75" hidden="1" customHeight="1"/>
    <row r="32" spans="1:11" ht="15.75" customHeight="1">
      <c r="A32" s="11" t="s">
        <v>1032</v>
      </c>
      <c r="B32" s="11"/>
      <c r="C32" s="11"/>
      <c r="D32" s="11"/>
      <c r="E32" s="11"/>
      <c r="F32" s="46"/>
      <c r="G32" s="46" t="s">
        <v>1033</v>
      </c>
      <c r="H32" s="440"/>
      <c r="I32" s="11"/>
    </row>
    <row r="33" spans="1:9" ht="15.75" customHeight="1">
      <c r="A33" s="11"/>
      <c r="B33" s="11"/>
      <c r="C33" s="11"/>
      <c r="D33" s="11"/>
      <c r="E33" s="11"/>
      <c r="F33" s="46"/>
      <c r="G33" s="46"/>
      <c r="H33" s="440"/>
      <c r="I33" s="11"/>
    </row>
    <row r="34" spans="1:9" ht="15.75" customHeight="1">
      <c r="A34" s="11"/>
      <c r="B34" s="11"/>
      <c r="C34" s="11"/>
      <c r="D34" s="11"/>
      <c r="E34" s="11"/>
      <c r="F34" s="46"/>
      <c r="G34" s="46"/>
      <c r="H34" s="440"/>
      <c r="I34" s="11"/>
    </row>
    <row r="35" spans="1:9" ht="15.75" customHeight="1">
      <c r="A35" s="169" t="s">
        <v>149</v>
      </c>
      <c r="B35" s="169"/>
      <c r="C35" s="169"/>
      <c r="D35" s="169"/>
      <c r="E35" s="169"/>
      <c r="F35" s="169"/>
      <c r="G35" s="169" t="s">
        <v>1034</v>
      </c>
      <c r="H35" s="169"/>
      <c r="I35" s="169"/>
    </row>
    <row r="36" spans="1:9" ht="15.75" customHeight="1"/>
    <row r="37" spans="1:9" ht="15.75" customHeight="1"/>
    <row r="38" spans="1:9" ht="15.75" customHeight="1"/>
    <row r="39" spans="1:9" ht="15.75" customHeight="1"/>
    <row r="40" spans="1:9" ht="15.75" customHeight="1"/>
    <row r="41" spans="1:9" ht="15.75" customHeight="1"/>
    <row r="42" spans="1:9" ht="15.75" customHeight="1"/>
    <row r="43" spans="1:9" ht="15.75" customHeight="1"/>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D12:D13"/>
    <mergeCell ref="E12:E13"/>
    <mergeCell ref="F12:H12"/>
    <mergeCell ref="I12:I13"/>
    <mergeCell ref="A2:I2"/>
    <mergeCell ref="A8:I8"/>
    <mergeCell ref="A9:I9"/>
    <mergeCell ref="A10:I10"/>
    <mergeCell ref="A12:A13"/>
    <mergeCell ref="B12:B13"/>
    <mergeCell ref="C12:C13"/>
  </mergeCells>
  <pageMargins left="0.7" right="0.7" top="0.75" bottom="0.75" header="0" footer="0"/>
  <pageSetup paperSize="9"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S1000"/>
  <sheetViews>
    <sheetView workbookViewId="0">
      <pane ySplit="5" topLeftCell="A6" activePane="bottomLeft" state="frozen"/>
      <selection pane="bottomLeft" activeCell="B7" sqref="B7"/>
    </sheetView>
  </sheetViews>
  <sheetFormatPr defaultColWidth="14.42578125" defaultRowHeight="15" customHeight="1"/>
  <cols>
    <col min="1" max="1" width="56.7109375" customWidth="1"/>
    <col min="2" max="2" width="12.42578125" hidden="1" customWidth="1"/>
    <col min="3" max="3" width="11" customWidth="1"/>
    <col min="4" max="4" width="8.140625" hidden="1" customWidth="1"/>
    <col min="5" max="5" width="8.5703125" hidden="1" customWidth="1"/>
    <col min="6" max="6" width="7.85546875" hidden="1" customWidth="1"/>
    <col min="7" max="8" width="8.5703125" hidden="1" customWidth="1"/>
    <col min="9" max="9" width="7.85546875" hidden="1" customWidth="1"/>
    <col min="10" max="10" width="8.28515625" hidden="1" customWidth="1"/>
    <col min="11" max="11" width="7.42578125" hidden="1" customWidth="1"/>
    <col min="12" max="12" width="8.140625" hidden="1" customWidth="1"/>
    <col min="13" max="13" width="8.28515625" hidden="1" customWidth="1"/>
    <col min="14" max="14" width="6.140625" hidden="1" customWidth="1"/>
    <col min="15" max="15" width="8" hidden="1" customWidth="1"/>
    <col min="16" max="16" width="8.42578125" hidden="1" customWidth="1"/>
    <col min="17" max="17" width="7.85546875" hidden="1" customWidth="1"/>
    <col min="18" max="18" width="8.85546875" hidden="1" customWidth="1"/>
    <col min="19" max="19" width="8" hidden="1" customWidth="1"/>
    <col min="20" max="20" width="7" hidden="1" customWidth="1"/>
    <col min="21" max="21" width="9.140625" hidden="1" customWidth="1"/>
    <col min="22" max="22" width="8.28515625" hidden="1" customWidth="1"/>
    <col min="23" max="23" width="7.85546875" hidden="1" customWidth="1"/>
    <col min="24" max="25" width="7.5703125" hidden="1" customWidth="1"/>
    <col min="26" max="27" width="7.42578125" hidden="1" customWidth="1"/>
    <col min="28" max="28" width="8" hidden="1" customWidth="1"/>
    <col min="29" max="29" width="7.28515625" hidden="1" customWidth="1"/>
    <col min="30" max="30" width="7.7109375" hidden="1" customWidth="1"/>
    <col min="31" max="31" width="7.28515625" hidden="1" customWidth="1"/>
    <col min="32" max="32" width="7.5703125" hidden="1" customWidth="1"/>
    <col min="33" max="34" width="7.7109375" hidden="1" customWidth="1"/>
    <col min="35" max="35" width="8.140625" hidden="1" customWidth="1"/>
    <col min="36" max="36" width="6.85546875" hidden="1" customWidth="1"/>
    <col min="37" max="38" width="9.140625" hidden="1" customWidth="1"/>
    <col min="39" max="39" width="8" hidden="1" customWidth="1"/>
    <col min="40" max="40" width="8.28515625" hidden="1" customWidth="1"/>
    <col min="41" max="41" width="7.85546875" hidden="1" customWidth="1"/>
    <col min="42" max="42" width="7.7109375" hidden="1" customWidth="1"/>
    <col min="43" max="43" width="10.5703125" customWidth="1"/>
    <col min="44" max="44" width="10.42578125" customWidth="1"/>
    <col min="45" max="45" width="10.28515625" customWidth="1"/>
  </cols>
  <sheetData>
    <row r="1" spans="1:45" ht="16.5">
      <c r="A1" s="139" t="s">
        <v>1085</v>
      </c>
      <c r="B1" s="196"/>
      <c r="C1" s="88"/>
      <c r="D1" s="88"/>
      <c r="E1" s="88"/>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row>
    <row r="2" spans="1:45" ht="16.5">
      <c r="A2" s="139" t="s">
        <v>1086</v>
      </c>
      <c r="B2" s="196"/>
      <c r="C2" s="88"/>
      <c r="D2" s="88"/>
      <c r="E2" s="88"/>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row>
    <row r="3" spans="1:45">
      <c r="A3" s="196"/>
      <c r="B3" s="196"/>
      <c r="C3" s="88"/>
      <c r="D3" s="88"/>
      <c r="E3" s="88"/>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row>
    <row r="4" spans="1:45">
      <c r="A4" s="1026" t="s">
        <v>732</v>
      </c>
      <c r="B4" s="1028"/>
      <c r="C4" s="1029" t="s">
        <v>1087</v>
      </c>
      <c r="D4" s="1030" t="s">
        <v>1088</v>
      </c>
      <c r="E4" s="1031"/>
      <c r="F4" s="1032"/>
      <c r="G4" s="1030" t="s">
        <v>1089</v>
      </c>
      <c r="H4" s="1031"/>
      <c r="I4" s="1032"/>
      <c r="J4" s="1030" t="s">
        <v>1090</v>
      </c>
      <c r="K4" s="1031"/>
      <c r="L4" s="1032"/>
      <c r="M4" s="1030" t="s">
        <v>1091</v>
      </c>
      <c r="N4" s="1031"/>
      <c r="O4" s="1032"/>
      <c r="P4" s="1030" t="s">
        <v>1092</v>
      </c>
      <c r="Q4" s="1031"/>
      <c r="R4" s="1032"/>
      <c r="S4" s="1030" t="s">
        <v>1093</v>
      </c>
      <c r="T4" s="1031"/>
      <c r="U4" s="1032"/>
      <c r="V4" s="1033" t="s">
        <v>1094</v>
      </c>
      <c r="W4" s="1031"/>
      <c r="X4" s="1032"/>
      <c r="Y4" s="1033" t="s">
        <v>1095</v>
      </c>
      <c r="Z4" s="1031"/>
      <c r="AA4" s="1032"/>
      <c r="AB4" s="1033" t="s">
        <v>1096</v>
      </c>
      <c r="AC4" s="1031"/>
      <c r="AD4" s="1032"/>
      <c r="AE4" s="1033" t="s">
        <v>1097</v>
      </c>
      <c r="AF4" s="1031"/>
      <c r="AG4" s="1032"/>
      <c r="AH4" s="1033" t="s">
        <v>1098</v>
      </c>
      <c r="AI4" s="1031"/>
      <c r="AJ4" s="1032"/>
      <c r="AK4" s="1033" t="s">
        <v>1099</v>
      </c>
      <c r="AL4" s="1031"/>
      <c r="AM4" s="1032"/>
      <c r="AN4" s="1033" t="s">
        <v>1100</v>
      </c>
      <c r="AO4" s="1031"/>
      <c r="AP4" s="1032"/>
      <c r="AQ4" s="1038" t="s">
        <v>1101</v>
      </c>
      <c r="AR4" s="1038" t="s">
        <v>1102</v>
      </c>
      <c r="AS4" s="1038" t="s">
        <v>1103</v>
      </c>
    </row>
    <row r="5" spans="1:45">
      <c r="A5" s="1027"/>
      <c r="B5" s="1027"/>
      <c r="C5" s="1027"/>
      <c r="D5" s="953"/>
      <c r="E5" s="954"/>
      <c r="F5" s="955"/>
      <c r="G5" s="953"/>
      <c r="H5" s="954"/>
      <c r="I5" s="955"/>
      <c r="J5" s="953"/>
      <c r="K5" s="954"/>
      <c r="L5" s="955"/>
      <c r="M5" s="953"/>
      <c r="N5" s="954"/>
      <c r="O5" s="955"/>
      <c r="P5" s="953"/>
      <c r="Q5" s="954"/>
      <c r="R5" s="955"/>
      <c r="S5" s="953"/>
      <c r="T5" s="954"/>
      <c r="U5" s="955"/>
      <c r="V5" s="953"/>
      <c r="W5" s="954"/>
      <c r="X5" s="955"/>
      <c r="Y5" s="953"/>
      <c r="Z5" s="954"/>
      <c r="AA5" s="955"/>
      <c r="AB5" s="953"/>
      <c r="AC5" s="954"/>
      <c r="AD5" s="955"/>
      <c r="AE5" s="953"/>
      <c r="AF5" s="954"/>
      <c r="AG5" s="955"/>
      <c r="AH5" s="953"/>
      <c r="AI5" s="954"/>
      <c r="AJ5" s="955"/>
      <c r="AK5" s="953"/>
      <c r="AL5" s="954"/>
      <c r="AM5" s="955"/>
      <c r="AN5" s="953"/>
      <c r="AO5" s="954"/>
      <c r="AP5" s="955"/>
      <c r="AQ5" s="1039"/>
      <c r="AR5" s="1039"/>
      <c r="AS5" s="1039"/>
    </row>
    <row r="6" spans="1:45" ht="29.25" customHeight="1">
      <c r="A6" s="451"/>
      <c r="B6" s="452"/>
      <c r="C6" s="453" t="s">
        <v>432</v>
      </c>
      <c r="D6" s="454" t="s">
        <v>1104</v>
      </c>
      <c r="E6" s="455" t="s">
        <v>432</v>
      </c>
      <c r="F6" s="456" t="s">
        <v>1105</v>
      </c>
      <c r="G6" s="454" t="s">
        <v>1104</v>
      </c>
      <c r="H6" s="455" t="s">
        <v>432</v>
      </c>
      <c r="I6" s="456" t="s">
        <v>1105</v>
      </c>
      <c r="J6" s="454" t="s">
        <v>1104</v>
      </c>
      <c r="K6" s="455" t="s">
        <v>432</v>
      </c>
      <c r="L6" s="456" t="s">
        <v>1105</v>
      </c>
      <c r="M6" s="454" t="s">
        <v>1104</v>
      </c>
      <c r="N6" s="455" t="s">
        <v>432</v>
      </c>
      <c r="O6" s="456" t="s">
        <v>1105</v>
      </c>
      <c r="P6" s="454" t="s">
        <v>1104</v>
      </c>
      <c r="Q6" s="455" t="s">
        <v>432</v>
      </c>
      <c r="R6" s="456" t="s">
        <v>1105</v>
      </c>
      <c r="S6" s="454" t="s">
        <v>1104</v>
      </c>
      <c r="T6" s="455" t="s">
        <v>432</v>
      </c>
      <c r="U6" s="456" t="s">
        <v>1105</v>
      </c>
      <c r="V6" s="454" t="s">
        <v>1104</v>
      </c>
      <c r="W6" s="455" t="s">
        <v>432</v>
      </c>
      <c r="X6" s="456" t="s">
        <v>1105</v>
      </c>
      <c r="Y6" s="454" t="s">
        <v>1104</v>
      </c>
      <c r="Z6" s="455" t="s">
        <v>432</v>
      </c>
      <c r="AA6" s="456" t="s">
        <v>1105</v>
      </c>
      <c r="AB6" s="454" t="s">
        <v>1104</v>
      </c>
      <c r="AC6" s="455" t="s">
        <v>432</v>
      </c>
      <c r="AD6" s="456" t="s">
        <v>1105</v>
      </c>
      <c r="AE6" s="454" t="s">
        <v>1104</v>
      </c>
      <c r="AF6" s="455" t="s">
        <v>432</v>
      </c>
      <c r="AG6" s="456" t="s">
        <v>1105</v>
      </c>
      <c r="AH6" s="454" t="s">
        <v>1104</v>
      </c>
      <c r="AI6" s="455" t="s">
        <v>432</v>
      </c>
      <c r="AJ6" s="456" t="s">
        <v>1105</v>
      </c>
      <c r="AK6" s="454" t="s">
        <v>1104</v>
      </c>
      <c r="AL6" s="455" t="s">
        <v>432</v>
      </c>
      <c r="AM6" s="456" t="s">
        <v>1105</v>
      </c>
      <c r="AN6" s="454" t="s">
        <v>1104</v>
      </c>
      <c r="AO6" s="455" t="s">
        <v>432</v>
      </c>
      <c r="AP6" s="456" t="s">
        <v>1105</v>
      </c>
      <c r="AQ6" s="1027"/>
      <c r="AR6" s="1027"/>
      <c r="AS6" s="1027"/>
    </row>
    <row r="7" spans="1:45">
      <c r="A7" s="457" t="s">
        <v>743</v>
      </c>
      <c r="B7" s="458"/>
      <c r="C7" s="459"/>
      <c r="D7" s="460"/>
      <c r="E7" s="460"/>
      <c r="F7" s="461"/>
      <c r="G7" s="460"/>
      <c r="H7" s="460"/>
      <c r="I7" s="461"/>
      <c r="J7" s="460"/>
      <c r="K7" s="460"/>
      <c r="L7" s="462"/>
      <c r="M7" s="460"/>
      <c r="N7" s="460"/>
      <c r="O7" s="462"/>
      <c r="P7" s="460"/>
      <c r="Q7" s="460"/>
      <c r="R7" s="462"/>
      <c r="S7" s="460"/>
      <c r="T7" s="460"/>
      <c r="U7" s="462"/>
      <c r="V7" s="460"/>
      <c r="W7" s="460"/>
      <c r="X7" s="461"/>
      <c r="Y7" s="460"/>
      <c r="Z7" s="460"/>
      <c r="AA7" s="462"/>
      <c r="AB7" s="460"/>
      <c r="AC7" s="460"/>
      <c r="AD7" s="462"/>
      <c r="AE7" s="460"/>
      <c r="AF7" s="460"/>
      <c r="AG7" s="462"/>
      <c r="AH7" s="460"/>
      <c r="AI7" s="460"/>
      <c r="AJ7" s="462"/>
      <c r="AK7" s="460"/>
      <c r="AL7" s="460"/>
      <c r="AM7" s="462"/>
      <c r="AN7" s="460"/>
      <c r="AO7" s="460"/>
      <c r="AP7" s="462"/>
      <c r="AQ7" s="102"/>
      <c r="AR7" s="463"/>
      <c r="AS7" s="102"/>
    </row>
    <row r="8" spans="1:45">
      <c r="A8" s="464" t="s">
        <v>1106</v>
      </c>
      <c r="B8" s="465" t="s">
        <v>745</v>
      </c>
      <c r="C8" s="466">
        <f t="shared" ref="C8:U8" si="0">C9+C21</f>
        <v>351300</v>
      </c>
      <c r="D8" s="467" t="e">
        <f t="shared" si="0"/>
        <v>#REF!</v>
      </c>
      <c r="E8" s="467">
        <f t="shared" si="0"/>
        <v>4833.33</v>
      </c>
      <c r="F8" s="467" t="e">
        <f t="shared" si="0"/>
        <v>#REF!</v>
      </c>
      <c r="G8" s="467">
        <f t="shared" si="0"/>
        <v>16745.977251557648</v>
      </c>
      <c r="H8" s="467">
        <f t="shared" si="0"/>
        <v>0</v>
      </c>
      <c r="I8" s="467">
        <f t="shared" si="0"/>
        <v>16745.977251557648</v>
      </c>
      <c r="J8" s="467" t="e">
        <f t="shared" si="0"/>
        <v>#REF!</v>
      </c>
      <c r="K8" s="467">
        <f t="shared" si="0"/>
        <v>0</v>
      </c>
      <c r="L8" s="467" t="e">
        <f t="shared" si="0"/>
        <v>#REF!</v>
      </c>
      <c r="M8" s="467" t="e">
        <f t="shared" si="0"/>
        <v>#REF!</v>
      </c>
      <c r="N8" s="467">
        <f t="shared" si="0"/>
        <v>0</v>
      </c>
      <c r="O8" s="467" t="e">
        <f t="shared" si="0"/>
        <v>#REF!</v>
      </c>
      <c r="P8" s="467" t="e">
        <f t="shared" si="0"/>
        <v>#REF!</v>
      </c>
      <c r="Q8" s="467">
        <f t="shared" si="0"/>
        <v>0</v>
      </c>
      <c r="R8" s="467" t="e">
        <f t="shared" si="0"/>
        <v>#REF!</v>
      </c>
      <c r="S8" s="467" t="e">
        <f t="shared" si="0"/>
        <v>#REF!</v>
      </c>
      <c r="T8" s="467">
        <f t="shared" si="0"/>
        <v>0</v>
      </c>
      <c r="U8" s="467" t="e">
        <f t="shared" si="0"/>
        <v>#REF!</v>
      </c>
      <c r="V8" s="467"/>
      <c r="W8" s="467"/>
      <c r="X8" s="468"/>
      <c r="Y8" s="467"/>
      <c r="Z8" s="467"/>
      <c r="AA8" s="469"/>
      <c r="AB8" s="467"/>
      <c r="AC8" s="467"/>
      <c r="AD8" s="469"/>
      <c r="AE8" s="467"/>
      <c r="AF8" s="467"/>
      <c r="AG8" s="469"/>
      <c r="AH8" s="467"/>
      <c r="AI8" s="467"/>
      <c r="AJ8" s="469"/>
      <c r="AK8" s="467"/>
      <c r="AL8" s="467"/>
      <c r="AM8" s="469"/>
      <c r="AN8" s="467"/>
      <c r="AO8" s="467"/>
      <c r="AP8" s="469"/>
      <c r="AQ8" s="470" t="e">
        <f t="shared" ref="AQ8:AQ27" si="1">F8+I8+L8+O8+R8+U8</f>
        <v>#REF!</v>
      </c>
      <c r="AR8" s="470" t="e">
        <f t="shared" ref="AR8:AR27" si="2">C8-AQ8</f>
        <v>#REF!</v>
      </c>
      <c r="AS8" s="471" t="e">
        <f t="shared" ref="AS8:AS27" si="3">AQ8/C8</f>
        <v>#REF!</v>
      </c>
    </row>
    <row r="9" spans="1:45">
      <c r="A9" s="472" t="s">
        <v>1107</v>
      </c>
      <c r="B9" s="473" t="s">
        <v>745</v>
      </c>
      <c r="C9" s="466">
        <f t="shared" ref="C9:U9" si="4">SUM(C10:C19)</f>
        <v>233000</v>
      </c>
      <c r="D9" s="467">
        <f t="shared" si="4"/>
        <v>1070.8857440350512</v>
      </c>
      <c r="E9" s="467">
        <f t="shared" si="4"/>
        <v>2450</v>
      </c>
      <c r="F9" s="467">
        <f t="shared" si="4"/>
        <v>3520.8857440350512</v>
      </c>
      <c r="G9" s="467">
        <f t="shared" si="4"/>
        <v>8095.9788522723284</v>
      </c>
      <c r="H9" s="467">
        <f t="shared" si="4"/>
        <v>0</v>
      </c>
      <c r="I9" s="467">
        <f t="shared" si="4"/>
        <v>8095.9788522723284</v>
      </c>
      <c r="J9" s="467" t="e">
        <f t="shared" si="4"/>
        <v>#REF!</v>
      </c>
      <c r="K9" s="467">
        <f t="shared" si="4"/>
        <v>0</v>
      </c>
      <c r="L9" s="467" t="e">
        <f t="shared" si="4"/>
        <v>#REF!</v>
      </c>
      <c r="M9" s="467" t="e">
        <f t="shared" si="4"/>
        <v>#REF!</v>
      </c>
      <c r="N9" s="467">
        <f t="shared" si="4"/>
        <v>0</v>
      </c>
      <c r="O9" s="467" t="e">
        <f t="shared" si="4"/>
        <v>#REF!</v>
      </c>
      <c r="P9" s="467" t="e">
        <f t="shared" si="4"/>
        <v>#REF!</v>
      </c>
      <c r="Q9" s="467">
        <f t="shared" si="4"/>
        <v>0</v>
      </c>
      <c r="R9" s="467" t="e">
        <f t="shared" si="4"/>
        <v>#REF!</v>
      </c>
      <c r="S9" s="467" t="e">
        <f t="shared" si="4"/>
        <v>#REF!</v>
      </c>
      <c r="T9" s="467">
        <f t="shared" si="4"/>
        <v>0</v>
      </c>
      <c r="U9" s="467" t="e">
        <f t="shared" si="4"/>
        <v>#REF!</v>
      </c>
      <c r="V9" s="467"/>
      <c r="W9" s="467"/>
      <c r="X9" s="468"/>
      <c r="Y9" s="467"/>
      <c r="Z9" s="467"/>
      <c r="AA9" s="469"/>
      <c r="AB9" s="467"/>
      <c r="AC9" s="467"/>
      <c r="AD9" s="469"/>
      <c r="AE9" s="467"/>
      <c r="AF9" s="467"/>
      <c r="AG9" s="469"/>
      <c r="AH9" s="467"/>
      <c r="AI9" s="467"/>
      <c r="AJ9" s="469"/>
      <c r="AK9" s="467"/>
      <c r="AL9" s="467"/>
      <c r="AM9" s="469"/>
      <c r="AN9" s="467"/>
      <c r="AO9" s="467"/>
      <c r="AP9" s="469"/>
      <c r="AQ9" s="470" t="e">
        <f t="shared" si="1"/>
        <v>#REF!</v>
      </c>
      <c r="AR9" s="470" t="e">
        <f t="shared" si="2"/>
        <v>#REF!</v>
      </c>
      <c r="AS9" s="471" t="e">
        <f t="shared" si="3"/>
        <v>#REF!</v>
      </c>
    </row>
    <row r="10" spans="1:45">
      <c r="A10" s="474" t="s">
        <v>1108</v>
      </c>
      <c r="B10" s="475" t="s">
        <v>745</v>
      </c>
      <c r="C10" s="476">
        <v>42000</v>
      </c>
      <c r="D10" s="477">
        <f>'Bank CFA2014'!F43</f>
        <v>1070.8857440350512</v>
      </c>
      <c r="E10" s="477">
        <f>'Bank € 14 '!G19</f>
        <v>2450</v>
      </c>
      <c r="F10" s="462">
        <f t="shared" ref="F10:F19" si="5">D10+E10</f>
        <v>3520.8857440350512</v>
      </c>
      <c r="G10" s="477">
        <f>2295849/655.957</f>
        <v>3499.9992377549138</v>
      </c>
      <c r="H10" s="477"/>
      <c r="I10" s="462">
        <f t="shared" ref="I10:I19" si="6">G10+H10</f>
        <v>3499.9992377549138</v>
      </c>
      <c r="J10" s="477"/>
      <c r="K10" s="477"/>
      <c r="L10" s="462">
        <f t="shared" ref="L10:L19" si="7">J10+K10</f>
        <v>0</v>
      </c>
      <c r="M10" s="477">
        <f>2295849/655.957</f>
        <v>3499.9992377549138</v>
      </c>
      <c r="N10" s="477"/>
      <c r="O10" s="462">
        <f t="shared" ref="O10:O19" si="8">M10+N10</f>
        <v>3499.9992377549138</v>
      </c>
      <c r="P10" s="477">
        <f>2295849/655.957</f>
        <v>3499.9992377549138</v>
      </c>
      <c r="Q10" s="477"/>
      <c r="R10" s="462">
        <f t="shared" ref="R10:R19" si="9">P10+Q10</f>
        <v>3499.9992377549138</v>
      </c>
      <c r="S10" s="477">
        <f>2295849/655.957</f>
        <v>3499.9992377549138</v>
      </c>
      <c r="T10" s="477"/>
      <c r="U10" s="462">
        <f t="shared" ref="U10:U20" si="10">S10+T10</f>
        <v>3499.9992377549138</v>
      </c>
      <c r="V10" s="477"/>
      <c r="W10" s="477"/>
      <c r="X10" s="469"/>
      <c r="Y10" s="477"/>
      <c r="Z10" s="477"/>
      <c r="AA10" s="469"/>
      <c r="AB10" s="477"/>
      <c r="AC10" s="477"/>
      <c r="AD10" s="469"/>
      <c r="AE10" s="477"/>
      <c r="AF10" s="477"/>
      <c r="AG10" s="469"/>
      <c r="AH10" s="477"/>
      <c r="AI10" s="477"/>
      <c r="AJ10" s="469"/>
      <c r="AK10" s="477"/>
      <c r="AL10" s="477"/>
      <c r="AM10" s="469"/>
      <c r="AN10" s="477"/>
      <c r="AO10" s="477"/>
      <c r="AP10" s="469"/>
      <c r="AQ10" s="470">
        <f t="shared" si="1"/>
        <v>17520.882695054705</v>
      </c>
      <c r="AR10" s="470">
        <f t="shared" si="2"/>
        <v>24479.117304945295</v>
      </c>
      <c r="AS10" s="471">
        <f t="shared" si="3"/>
        <v>0.41716387369177865</v>
      </c>
    </row>
    <row r="11" spans="1:45">
      <c r="A11" s="474" t="s">
        <v>1109</v>
      </c>
      <c r="B11" s="475" t="s">
        <v>745</v>
      </c>
      <c r="C11" s="476">
        <v>42000</v>
      </c>
      <c r="D11" s="477"/>
      <c r="E11" s="477"/>
      <c r="F11" s="462">
        <f t="shared" si="5"/>
        <v>0</v>
      </c>
      <c r="G11" s="477">
        <f>'Bank XOF'!G20/655.957+'Bank XOF'!G24/655.957</f>
        <v>2766.5914076684903</v>
      </c>
      <c r="H11" s="477"/>
      <c r="I11" s="462">
        <f t="shared" si="6"/>
        <v>2766.5914076684903</v>
      </c>
      <c r="J11" s="477" t="e">
        <f>'Bank XOF'!#REF!/655.957</f>
        <v>#REF!</v>
      </c>
      <c r="K11" s="477"/>
      <c r="L11" s="462" t="e">
        <f t="shared" si="7"/>
        <v>#REF!</v>
      </c>
      <c r="M11" s="477" t="e">
        <f>'Bank XOF'!#REF!/655.957</f>
        <v>#REF!</v>
      </c>
      <c r="N11" s="477"/>
      <c r="O11" s="462" t="e">
        <f t="shared" si="8"/>
        <v>#REF!</v>
      </c>
      <c r="P11" s="477" t="e">
        <f>'Bank XOF'!#REF!/655.957</f>
        <v>#REF!</v>
      </c>
      <c r="Q11" s="477"/>
      <c r="R11" s="462" t="e">
        <f t="shared" si="9"/>
        <v>#REF!</v>
      </c>
      <c r="S11" s="477" t="e">
        <f>'Bank XOF'!#REF!/655.957</f>
        <v>#REF!</v>
      </c>
      <c r="T11" s="477"/>
      <c r="U11" s="462" t="e">
        <f t="shared" si="10"/>
        <v>#REF!</v>
      </c>
      <c r="V11" s="477"/>
      <c r="W11" s="477"/>
      <c r="X11" s="469"/>
      <c r="Y11" s="477"/>
      <c r="Z11" s="477"/>
      <c r="AA11" s="469"/>
      <c r="AB11" s="477"/>
      <c r="AC11" s="477"/>
      <c r="AD11" s="469"/>
      <c r="AE11" s="477"/>
      <c r="AF11" s="477"/>
      <c r="AG11" s="469"/>
      <c r="AH11" s="477"/>
      <c r="AI11" s="477"/>
      <c r="AJ11" s="469"/>
      <c r="AK11" s="477"/>
      <c r="AL11" s="477"/>
      <c r="AM11" s="469"/>
      <c r="AN11" s="477"/>
      <c r="AO11" s="477"/>
      <c r="AP11" s="469"/>
      <c r="AQ11" s="470" t="e">
        <f t="shared" si="1"/>
        <v>#REF!</v>
      </c>
      <c r="AR11" s="470" t="e">
        <f t="shared" si="2"/>
        <v>#REF!</v>
      </c>
      <c r="AS11" s="471" t="e">
        <f t="shared" si="3"/>
        <v>#REF!</v>
      </c>
    </row>
    <row r="12" spans="1:45">
      <c r="A12" s="478" t="s">
        <v>1110</v>
      </c>
      <c r="B12" s="479" t="s">
        <v>745</v>
      </c>
      <c r="C12" s="476">
        <v>33000</v>
      </c>
      <c r="D12" s="477"/>
      <c r="E12" s="477"/>
      <c r="F12" s="462">
        <f t="shared" si="5"/>
        <v>0</v>
      </c>
      <c r="G12" s="477">
        <f>'Bank XOF'!G19/655.957+'Bank XOF'!G22/655.957</f>
        <v>914.69410342446224</v>
      </c>
      <c r="H12" s="477"/>
      <c r="I12" s="462">
        <f t="shared" si="6"/>
        <v>914.69410342446224</v>
      </c>
      <c r="J12" s="477" t="e">
        <f>'Bank XOF'!#REF!/655.957</f>
        <v>#REF!</v>
      </c>
      <c r="K12" s="477"/>
      <c r="L12" s="462" t="e">
        <f t="shared" si="7"/>
        <v>#REF!</v>
      </c>
      <c r="M12" s="477" t="e">
        <f>'Bank XOF'!#REF!/655.957</f>
        <v>#REF!</v>
      </c>
      <c r="N12" s="477"/>
      <c r="O12" s="462" t="e">
        <f t="shared" si="8"/>
        <v>#REF!</v>
      </c>
      <c r="P12" s="477" t="e">
        <f>'Bank XOF'!#REF!/655.957</f>
        <v>#REF!</v>
      </c>
      <c r="Q12" s="477"/>
      <c r="R12" s="462" t="e">
        <f t="shared" si="9"/>
        <v>#REF!</v>
      </c>
      <c r="S12" s="477" t="e">
        <f>'Bank XOF'!#REF!/655.957</f>
        <v>#REF!</v>
      </c>
      <c r="T12" s="477"/>
      <c r="U12" s="462" t="e">
        <f t="shared" si="10"/>
        <v>#REF!</v>
      </c>
      <c r="V12" s="477"/>
      <c r="W12" s="477"/>
      <c r="X12" s="469"/>
      <c r="Y12" s="477"/>
      <c r="Z12" s="477"/>
      <c r="AA12" s="469"/>
      <c r="AB12" s="477"/>
      <c r="AC12" s="477"/>
      <c r="AD12" s="469"/>
      <c r="AE12" s="477"/>
      <c r="AF12" s="477"/>
      <c r="AG12" s="469"/>
      <c r="AH12" s="477"/>
      <c r="AI12" s="477"/>
      <c r="AJ12" s="469"/>
      <c r="AK12" s="477"/>
      <c r="AL12" s="477"/>
      <c r="AM12" s="469"/>
      <c r="AN12" s="477"/>
      <c r="AO12" s="477"/>
      <c r="AP12" s="469"/>
      <c r="AQ12" s="470" t="e">
        <f t="shared" si="1"/>
        <v>#REF!</v>
      </c>
      <c r="AR12" s="470" t="e">
        <f t="shared" si="2"/>
        <v>#REF!</v>
      </c>
      <c r="AS12" s="471" t="e">
        <f t="shared" si="3"/>
        <v>#REF!</v>
      </c>
    </row>
    <row r="13" spans="1:45">
      <c r="A13" s="474" t="s">
        <v>1111</v>
      </c>
      <c r="B13" s="479" t="s">
        <v>745</v>
      </c>
      <c r="C13" s="476">
        <v>36000</v>
      </c>
      <c r="D13" s="477"/>
      <c r="E13" s="477"/>
      <c r="F13" s="462">
        <f t="shared" si="5"/>
        <v>0</v>
      </c>
      <c r="G13" s="477"/>
      <c r="H13" s="477"/>
      <c r="I13" s="462">
        <f t="shared" si="6"/>
        <v>0</v>
      </c>
      <c r="J13" s="477"/>
      <c r="K13" s="477"/>
      <c r="L13" s="462">
        <f t="shared" si="7"/>
        <v>0</v>
      </c>
      <c r="M13" s="477"/>
      <c r="N13" s="477"/>
      <c r="O13" s="462">
        <f t="shared" si="8"/>
        <v>0</v>
      </c>
      <c r="P13" s="477"/>
      <c r="Q13" s="477"/>
      <c r="R13" s="462">
        <f t="shared" si="9"/>
        <v>0</v>
      </c>
      <c r="S13" s="477"/>
      <c r="T13" s="477"/>
      <c r="U13" s="462">
        <f t="shared" si="10"/>
        <v>0</v>
      </c>
      <c r="V13" s="477"/>
      <c r="W13" s="477"/>
      <c r="X13" s="469"/>
      <c r="Y13" s="477"/>
      <c r="Z13" s="477"/>
      <c r="AA13" s="469"/>
      <c r="AB13" s="477"/>
      <c r="AC13" s="477"/>
      <c r="AD13" s="469"/>
      <c r="AE13" s="477"/>
      <c r="AF13" s="477"/>
      <c r="AG13" s="469"/>
      <c r="AH13" s="477"/>
      <c r="AI13" s="477"/>
      <c r="AJ13" s="469"/>
      <c r="AK13" s="477"/>
      <c r="AL13" s="477"/>
      <c r="AM13" s="469"/>
      <c r="AN13" s="477"/>
      <c r="AO13" s="477"/>
      <c r="AP13" s="469"/>
      <c r="AQ13" s="470">
        <f t="shared" si="1"/>
        <v>0</v>
      </c>
      <c r="AR13" s="470">
        <f t="shared" si="2"/>
        <v>36000</v>
      </c>
      <c r="AS13" s="471">
        <f t="shared" si="3"/>
        <v>0</v>
      </c>
    </row>
    <row r="14" spans="1:45">
      <c r="A14" s="474" t="s">
        <v>1112</v>
      </c>
      <c r="B14" s="479" t="s">
        <v>745</v>
      </c>
      <c r="C14" s="476">
        <v>10000</v>
      </c>
      <c r="D14" s="477"/>
      <c r="E14" s="477"/>
      <c r="F14" s="462">
        <f t="shared" si="5"/>
        <v>0</v>
      </c>
      <c r="G14" s="477"/>
      <c r="H14" s="477"/>
      <c r="I14" s="462">
        <f t="shared" si="6"/>
        <v>0</v>
      </c>
      <c r="J14" s="477"/>
      <c r="K14" s="477"/>
      <c r="L14" s="462">
        <f t="shared" si="7"/>
        <v>0</v>
      </c>
      <c r="M14" s="477"/>
      <c r="N14" s="477"/>
      <c r="O14" s="462">
        <f t="shared" si="8"/>
        <v>0</v>
      </c>
      <c r="P14" s="477"/>
      <c r="Q14" s="477"/>
      <c r="R14" s="462">
        <f t="shared" si="9"/>
        <v>0</v>
      </c>
      <c r="S14" s="477"/>
      <c r="T14" s="477"/>
      <c r="U14" s="462">
        <f t="shared" si="10"/>
        <v>0</v>
      </c>
      <c r="V14" s="477"/>
      <c r="W14" s="477"/>
      <c r="X14" s="469"/>
      <c r="Y14" s="477"/>
      <c r="Z14" s="477"/>
      <c r="AA14" s="469"/>
      <c r="AB14" s="477"/>
      <c r="AC14" s="477"/>
      <c r="AD14" s="469"/>
      <c r="AE14" s="477"/>
      <c r="AF14" s="477"/>
      <c r="AG14" s="469"/>
      <c r="AH14" s="477"/>
      <c r="AI14" s="477"/>
      <c r="AJ14" s="469"/>
      <c r="AK14" s="477"/>
      <c r="AL14" s="477"/>
      <c r="AM14" s="469"/>
      <c r="AN14" s="477"/>
      <c r="AO14" s="477"/>
      <c r="AP14" s="469"/>
      <c r="AQ14" s="470">
        <f t="shared" si="1"/>
        <v>0</v>
      </c>
      <c r="AR14" s="470">
        <f t="shared" si="2"/>
        <v>10000</v>
      </c>
      <c r="AS14" s="471">
        <f t="shared" si="3"/>
        <v>0</v>
      </c>
    </row>
    <row r="15" spans="1:45">
      <c r="A15" s="474" t="s">
        <v>1113</v>
      </c>
      <c r="B15" s="479" t="s">
        <v>745</v>
      </c>
      <c r="C15" s="476">
        <v>10000</v>
      </c>
      <c r="D15" s="477"/>
      <c r="E15" s="477"/>
      <c r="F15" s="462">
        <f t="shared" si="5"/>
        <v>0</v>
      </c>
      <c r="G15" s="477"/>
      <c r="H15" s="477"/>
      <c r="I15" s="462">
        <f t="shared" si="6"/>
        <v>0</v>
      </c>
      <c r="J15" s="477"/>
      <c r="K15" s="477"/>
      <c r="L15" s="462">
        <f t="shared" si="7"/>
        <v>0</v>
      </c>
      <c r="M15" s="477"/>
      <c r="N15" s="477"/>
      <c r="O15" s="462">
        <f t="shared" si="8"/>
        <v>0</v>
      </c>
      <c r="P15" s="477"/>
      <c r="Q15" s="477"/>
      <c r="R15" s="462">
        <f t="shared" si="9"/>
        <v>0</v>
      </c>
      <c r="S15" s="477"/>
      <c r="T15" s="477"/>
      <c r="U15" s="462">
        <f t="shared" si="10"/>
        <v>0</v>
      </c>
      <c r="V15" s="477"/>
      <c r="W15" s="477"/>
      <c r="X15" s="469"/>
      <c r="Y15" s="477"/>
      <c r="Z15" s="477"/>
      <c r="AA15" s="469"/>
      <c r="AB15" s="477"/>
      <c r="AC15" s="477"/>
      <c r="AD15" s="469"/>
      <c r="AE15" s="477"/>
      <c r="AF15" s="477"/>
      <c r="AG15" s="469"/>
      <c r="AH15" s="477"/>
      <c r="AI15" s="477"/>
      <c r="AJ15" s="469"/>
      <c r="AK15" s="477"/>
      <c r="AL15" s="477"/>
      <c r="AM15" s="469"/>
      <c r="AN15" s="477"/>
      <c r="AO15" s="477"/>
      <c r="AP15" s="469"/>
      <c r="AQ15" s="470">
        <f t="shared" si="1"/>
        <v>0</v>
      </c>
      <c r="AR15" s="470">
        <f t="shared" si="2"/>
        <v>10000</v>
      </c>
      <c r="AS15" s="471">
        <f t="shared" si="3"/>
        <v>0</v>
      </c>
    </row>
    <row r="16" spans="1:45">
      <c r="A16" s="474" t="s">
        <v>1114</v>
      </c>
      <c r="B16" s="479" t="s">
        <v>745</v>
      </c>
      <c r="C16" s="476">
        <v>7500</v>
      </c>
      <c r="D16" s="477"/>
      <c r="E16" s="477"/>
      <c r="F16" s="462">
        <f t="shared" si="5"/>
        <v>0</v>
      </c>
      <c r="G16" s="477"/>
      <c r="H16" s="477"/>
      <c r="I16" s="462">
        <f t="shared" si="6"/>
        <v>0</v>
      </c>
      <c r="J16" s="477"/>
      <c r="K16" s="477"/>
      <c r="L16" s="462">
        <f t="shared" si="7"/>
        <v>0</v>
      </c>
      <c r="M16" s="477"/>
      <c r="N16" s="477"/>
      <c r="O16" s="462">
        <f t="shared" si="8"/>
        <v>0</v>
      </c>
      <c r="P16" s="477"/>
      <c r="Q16" s="477"/>
      <c r="R16" s="462">
        <f t="shared" si="9"/>
        <v>0</v>
      </c>
      <c r="S16" s="477"/>
      <c r="T16" s="477"/>
      <c r="U16" s="462">
        <f t="shared" si="10"/>
        <v>0</v>
      </c>
      <c r="V16" s="477"/>
      <c r="W16" s="477"/>
      <c r="X16" s="469"/>
      <c r="Y16" s="477"/>
      <c r="Z16" s="477"/>
      <c r="AA16" s="469"/>
      <c r="AB16" s="477"/>
      <c r="AC16" s="477"/>
      <c r="AD16" s="469"/>
      <c r="AE16" s="477"/>
      <c r="AF16" s="477"/>
      <c r="AG16" s="469"/>
      <c r="AH16" s="477"/>
      <c r="AI16" s="477"/>
      <c r="AJ16" s="469"/>
      <c r="AK16" s="477"/>
      <c r="AL16" s="477"/>
      <c r="AM16" s="469"/>
      <c r="AN16" s="477"/>
      <c r="AO16" s="477"/>
      <c r="AP16" s="469"/>
      <c r="AQ16" s="470">
        <f t="shared" si="1"/>
        <v>0</v>
      </c>
      <c r="AR16" s="470">
        <f t="shared" si="2"/>
        <v>7500</v>
      </c>
      <c r="AS16" s="471">
        <f t="shared" si="3"/>
        <v>0</v>
      </c>
    </row>
    <row r="17" spans="1:45">
      <c r="A17" s="474" t="s">
        <v>1115</v>
      </c>
      <c r="B17" s="479" t="s">
        <v>745</v>
      </c>
      <c r="C17" s="476">
        <v>7500</v>
      </c>
      <c r="D17" s="477"/>
      <c r="E17" s="477"/>
      <c r="F17" s="462">
        <f t="shared" si="5"/>
        <v>0</v>
      </c>
      <c r="G17" s="477"/>
      <c r="H17" s="477"/>
      <c r="I17" s="462">
        <f t="shared" si="6"/>
        <v>0</v>
      </c>
      <c r="J17" s="477"/>
      <c r="K17" s="477"/>
      <c r="L17" s="462">
        <f t="shared" si="7"/>
        <v>0</v>
      </c>
      <c r="M17" s="477"/>
      <c r="N17" s="477"/>
      <c r="O17" s="462">
        <f t="shared" si="8"/>
        <v>0</v>
      </c>
      <c r="P17" s="477"/>
      <c r="Q17" s="477"/>
      <c r="R17" s="462">
        <f t="shared" si="9"/>
        <v>0</v>
      </c>
      <c r="S17" s="477"/>
      <c r="T17" s="477"/>
      <c r="U17" s="462">
        <f t="shared" si="10"/>
        <v>0</v>
      </c>
      <c r="V17" s="477"/>
      <c r="W17" s="477"/>
      <c r="X17" s="469"/>
      <c r="Y17" s="477"/>
      <c r="Z17" s="477"/>
      <c r="AA17" s="469"/>
      <c r="AB17" s="477"/>
      <c r="AC17" s="477"/>
      <c r="AD17" s="469"/>
      <c r="AE17" s="477"/>
      <c r="AF17" s="477"/>
      <c r="AG17" s="469"/>
      <c r="AH17" s="477"/>
      <c r="AI17" s="477"/>
      <c r="AJ17" s="469"/>
      <c r="AK17" s="477"/>
      <c r="AL17" s="477"/>
      <c r="AM17" s="469"/>
      <c r="AN17" s="477"/>
      <c r="AO17" s="477"/>
      <c r="AP17" s="469"/>
      <c r="AQ17" s="470">
        <f t="shared" si="1"/>
        <v>0</v>
      </c>
      <c r="AR17" s="470">
        <f t="shared" si="2"/>
        <v>7500</v>
      </c>
      <c r="AS17" s="471">
        <f t="shared" si="3"/>
        <v>0</v>
      </c>
    </row>
    <row r="18" spans="1:45">
      <c r="A18" s="474" t="s">
        <v>1116</v>
      </c>
      <c r="B18" s="479" t="s">
        <v>745</v>
      </c>
      <c r="C18" s="476">
        <v>7500</v>
      </c>
      <c r="D18" s="477"/>
      <c r="E18" s="477"/>
      <c r="F18" s="462">
        <f t="shared" si="5"/>
        <v>0</v>
      </c>
      <c r="G18" s="477"/>
      <c r="H18" s="477"/>
      <c r="I18" s="462">
        <f t="shared" si="6"/>
        <v>0</v>
      </c>
      <c r="J18" s="477"/>
      <c r="K18" s="477"/>
      <c r="L18" s="462">
        <f t="shared" si="7"/>
        <v>0</v>
      </c>
      <c r="M18" s="477"/>
      <c r="N18" s="477"/>
      <c r="O18" s="462">
        <f t="shared" si="8"/>
        <v>0</v>
      </c>
      <c r="P18" s="477"/>
      <c r="Q18" s="477"/>
      <c r="R18" s="462">
        <f t="shared" si="9"/>
        <v>0</v>
      </c>
      <c r="S18" s="477"/>
      <c r="T18" s="477"/>
      <c r="U18" s="462">
        <f t="shared" si="10"/>
        <v>0</v>
      </c>
      <c r="V18" s="477"/>
      <c r="W18" s="477"/>
      <c r="X18" s="469"/>
      <c r="Y18" s="477"/>
      <c r="Z18" s="477"/>
      <c r="AA18" s="469"/>
      <c r="AB18" s="477"/>
      <c r="AC18" s="477"/>
      <c r="AD18" s="469"/>
      <c r="AE18" s="477"/>
      <c r="AF18" s="477"/>
      <c r="AG18" s="469"/>
      <c r="AH18" s="477"/>
      <c r="AI18" s="477"/>
      <c r="AJ18" s="469"/>
      <c r="AK18" s="477"/>
      <c r="AL18" s="477"/>
      <c r="AM18" s="469"/>
      <c r="AN18" s="477"/>
      <c r="AO18" s="477"/>
      <c r="AP18" s="469"/>
      <c r="AQ18" s="470">
        <f t="shared" si="1"/>
        <v>0</v>
      </c>
      <c r="AR18" s="470">
        <f t="shared" si="2"/>
        <v>7500</v>
      </c>
      <c r="AS18" s="471">
        <f t="shared" si="3"/>
        <v>0</v>
      </c>
    </row>
    <row r="19" spans="1:45">
      <c r="A19" s="474" t="s">
        <v>1117</v>
      </c>
      <c r="B19" s="479" t="s">
        <v>745</v>
      </c>
      <c r="C19" s="476">
        <v>37500</v>
      </c>
      <c r="D19" s="477"/>
      <c r="E19" s="477"/>
      <c r="F19" s="462">
        <f t="shared" si="5"/>
        <v>0</v>
      </c>
      <c r="G19" s="477">
        <f>'Bank XOF'!G21/655.957</f>
        <v>914.69410342446224</v>
      </c>
      <c r="H19" s="477"/>
      <c r="I19" s="462">
        <f t="shared" si="6"/>
        <v>914.69410342446224</v>
      </c>
      <c r="J19" s="477" t="e">
        <f>'Bank XOF'!#REF!/655.957</f>
        <v>#REF!</v>
      </c>
      <c r="K19" s="477"/>
      <c r="L19" s="462" t="e">
        <f t="shared" si="7"/>
        <v>#REF!</v>
      </c>
      <c r="M19" s="477" t="e">
        <f>'Bank XOF'!#REF!/655.957</f>
        <v>#REF!</v>
      </c>
      <c r="N19" s="477"/>
      <c r="O19" s="462" t="e">
        <f t="shared" si="8"/>
        <v>#REF!</v>
      </c>
      <c r="P19" s="477" t="e">
        <f>'Bank XOF'!#REF!/655.957</f>
        <v>#REF!</v>
      </c>
      <c r="Q19" s="477"/>
      <c r="R19" s="462" t="e">
        <f t="shared" si="9"/>
        <v>#REF!</v>
      </c>
      <c r="S19" s="477" t="e">
        <f>'Bank XOF'!#REF!/655.957</f>
        <v>#REF!</v>
      </c>
      <c r="T19" s="477"/>
      <c r="U19" s="462" t="e">
        <f t="shared" si="10"/>
        <v>#REF!</v>
      </c>
      <c r="V19" s="477"/>
      <c r="W19" s="477"/>
      <c r="X19" s="469"/>
      <c r="Y19" s="477"/>
      <c r="Z19" s="477"/>
      <c r="AA19" s="469"/>
      <c r="AB19" s="477"/>
      <c r="AC19" s="477"/>
      <c r="AD19" s="469"/>
      <c r="AE19" s="477"/>
      <c r="AF19" s="477"/>
      <c r="AG19" s="469"/>
      <c r="AH19" s="477"/>
      <c r="AI19" s="477"/>
      <c r="AJ19" s="469"/>
      <c r="AK19" s="477"/>
      <c r="AL19" s="477"/>
      <c r="AM19" s="469"/>
      <c r="AN19" s="477"/>
      <c r="AO19" s="477"/>
      <c r="AP19" s="469"/>
      <c r="AQ19" s="470" t="e">
        <f t="shared" si="1"/>
        <v>#REF!</v>
      </c>
      <c r="AR19" s="470" t="e">
        <f t="shared" si="2"/>
        <v>#REF!</v>
      </c>
      <c r="AS19" s="471" t="e">
        <f t="shared" si="3"/>
        <v>#REF!</v>
      </c>
    </row>
    <row r="20" spans="1:45" hidden="1">
      <c r="A20" s="474"/>
      <c r="B20" s="475"/>
      <c r="C20" s="476"/>
      <c r="D20" s="477"/>
      <c r="E20" s="477"/>
      <c r="F20" s="462"/>
      <c r="G20" s="477"/>
      <c r="H20" s="477"/>
      <c r="I20" s="462"/>
      <c r="J20" s="477"/>
      <c r="K20" s="477"/>
      <c r="L20" s="462"/>
      <c r="M20" s="477"/>
      <c r="N20" s="477"/>
      <c r="O20" s="462"/>
      <c r="P20" s="477"/>
      <c r="Q20" s="477"/>
      <c r="R20" s="462"/>
      <c r="S20" s="477"/>
      <c r="T20" s="477"/>
      <c r="U20" s="462">
        <f t="shared" si="10"/>
        <v>0</v>
      </c>
      <c r="V20" s="477"/>
      <c r="W20" s="477"/>
      <c r="X20" s="469"/>
      <c r="Y20" s="477"/>
      <c r="Z20" s="477"/>
      <c r="AA20" s="469"/>
      <c r="AB20" s="477"/>
      <c r="AC20" s="477"/>
      <c r="AD20" s="469"/>
      <c r="AE20" s="477"/>
      <c r="AF20" s="477"/>
      <c r="AG20" s="469"/>
      <c r="AH20" s="477"/>
      <c r="AI20" s="477"/>
      <c r="AJ20" s="469"/>
      <c r="AK20" s="477"/>
      <c r="AL20" s="477"/>
      <c r="AM20" s="469"/>
      <c r="AN20" s="477"/>
      <c r="AO20" s="477"/>
      <c r="AP20" s="469"/>
      <c r="AQ20" s="470">
        <f t="shared" si="1"/>
        <v>0</v>
      </c>
      <c r="AR20" s="470">
        <f t="shared" si="2"/>
        <v>0</v>
      </c>
      <c r="AS20" s="471" t="e">
        <f t="shared" si="3"/>
        <v>#DIV/0!</v>
      </c>
    </row>
    <row r="21" spans="1:45" ht="15.75" customHeight="1">
      <c r="A21" s="472" t="s">
        <v>1118</v>
      </c>
      <c r="B21" s="473" t="s">
        <v>745</v>
      </c>
      <c r="C21" s="466">
        <f t="shared" ref="C21:U21" si="11">SUM(C22:C25)</f>
        <v>118300</v>
      </c>
      <c r="D21" s="467" t="e">
        <f t="shared" si="11"/>
        <v>#REF!</v>
      </c>
      <c r="E21" s="467">
        <f t="shared" si="11"/>
        <v>2383.33</v>
      </c>
      <c r="F21" s="467" t="e">
        <f t="shared" si="11"/>
        <v>#REF!</v>
      </c>
      <c r="G21" s="467">
        <f t="shared" si="11"/>
        <v>8649.9983992853195</v>
      </c>
      <c r="H21" s="467">
        <f t="shared" si="11"/>
        <v>0</v>
      </c>
      <c r="I21" s="467">
        <f t="shared" si="11"/>
        <v>8649.9983992853195</v>
      </c>
      <c r="J21" s="467">
        <f t="shared" si="11"/>
        <v>0</v>
      </c>
      <c r="K21" s="467">
        <f t="shared" si="11"/>
        <v>0</v>
      </c>
      <c r="L21" s="467">
        <f t="shared" si="11"/>
        <v>0</v>
      </c>
      <c r="M21" s="467">
        <f t="shared" si="11"/>
        <v>5899.9995426529485</v>
      </c>
      <c r="N21" s="467">
        <f t="shared" si="11"/>
        <v>0</v>
      </c>
      <c r="O21" s="467">
        <f t="shared" si="11"/>
        <v>5899.9995426529485</v>
      </c>
      <c r="P21" s="467">
        <f t="shared" si="11"/>
        <v>5899.9995426529485</v>
      </c>
      <c r="Q21" s="467">
        <f t="shared" si="11"/>
        <v>0</v>
      </c>
      <c r="R21" s="467">
        <f t="shared" si="11"/>
        <v>5899.9995426529485</v>
      </c>
      <c r="S21" s="467">
        <f t="shared" si="11"/>
        <v>6860.4283512486345</v>
      </c>
      <c r="T21" s="467">
        <f t="shared" si="11"/>
        <v>0</v>
      </c>
      <c r="U21" s="467">
        <f t="shared" si="11"/>
        <v>6860.4283512486345</v>
      </c>
      <c r="V21" s="467"/>
      <c r="W21" s="467"/>
      <c r="X21" s="468"/>
      <c r="Y21" s="467"/>
      <c r="Z21" s="467"/>
      <c r="AA21" s="469"/>
      <c r="AB21" s="467"/>
      <c r="AC21" s="467"/>
      <c r="AD21" s="469"/>
      <c r="AE21" s="467"/>
      <c r="AF21" s="467"/>
      <c r="AG21" s="469"/>
      <c r="AH21" s="467"/>
      <c r="AI21" s="467"/>
      <c r="AJ21" s="469"/>
      <c r="AK21" s="467"/>
      <c r="AL21" s="467"/>
      <c r="AM21" s="469"/>
      <c r="AN21" s="467"/>
      <c r="AO21" s="467"/>
      <c r="AP21" s="469"/>
      <c r="AQ21" s="470" t="e">
        <f t="shared" si="1"/>
        <v>#REF!</v>
      </c>
      <c r="AR21" s="470" t="e">
        <f t="shared" si="2"/>
        <v>#REF!</v>
      </c>
      <c r="AS21" s="471" t="e">
        <f t="shared" si="3"/>
        <v>#REF!</v>
      </c>
    </row>
    <row r="22" spans="1:45" ht="15.75" customHeight="1">
      <c r="A22" s="474" t="s">
        <v>1119</v>
      </c>
      <c r="B22" s="475" t="s">
        <v>745</v>
      </c>
      <c r="C22" s="476">
        <v>43800</v>
      </c>
      <c r="D22" s="480">
        <f>'Bank CFA2014'!F46</f>
        <v>385.00237058221796</v>
      </c>
      <c r="E22" s="480"/>
      <c r="F22" s="461">
        <f t="shared" ref="F22:F25" si="12">D22+E22</f>
        <v>385.00237058221796</v>
      </c>
      <c r="G22" s="480">
        <f>2394243/655.957</f>
        <v>3649.9999237754914</v>
      </c>
      <c r="H22" s="480"/>
      <c r="I22" s="461">
        <f t="shared" ref="I22:I25" si="13">G22+H22</f>
        <v>3649.9999237754914</v>
      </c>
      <c r="J22" s="480"/>
      <c r="K22" s="480"/>
      <c r="L22" s="462">
        <f t="shared" ref="L22:L25" si="14">J22+K22</f>
        <v>0</v>
      </c>
      <c r="M22" s="480">
        <f>2394243/655.957</f>
        <v>3649.9999237754914</v>
      </c>
      <c r="N22" s="480"/>
      <c r="O22" s="462">
        <f t="shared" ref="O22:O25" si="15">M22+N22</f>
        <v>3649.9999237754914</v>
      </c>
      <c r="P22" s="480">
        <f>2394243/655.957</f>
        <v>3649.9999237754914</v>
      </c>
      <c r="Q22" s="480"/>
      <c r="R22" s="462">
        <f t="shared" ref="R22:R25" si="16">P22+Q22</f>
        <v>3649.9999237754914</v>
      </c>
      <c r="S22" s="480">
        <f>2394243/655.957</f>
        <v>3649.9999237754914</v>
      </c>
      <c r="T22" s="480"/>
      <c r="U22" s="462">
        <f t="shared" ref="U22:U27" si="17">S22+T22</f>
        <v>3649.9999237754914</v>
      </c>
      <c r="V22" s="480"/>
      <c r="W22" s="480"/>
      <c r="X22" s="468"/>
      <c r="Y22" s="480"/>
      <c r="Z22" s="480"/>
      <c r="AA22" s="469"/>
      <c r="AB22" s="480"/>
      <c r="AC22" s="480"/>
      <c r="AD22" s="469"/>
      <c r="AE22" s="480"/>
      <c r="AF22" s="480"/>
      <c r="AG22" s="469"/>
      <c r="AH22" s="480"/>
      <c r="AI22" s="480"/>
      <c r="AJ22" s="469"/>
      <c r="AK22" s="480"/>
      <c r="AL22" s="480"/>
      <c r="AM22" s="469"/>
      <c r="AN22" s="480"/>
      <c r="AO22" s="480"/>
      <c r="AP22" s="469"/>
      <c r="AQ22" s="470">
        <f t="shared" si="1"/>
        <v>14985.002065684183</v>
      </c>
      <c r="AR22" s="470">
        <f t="shared" si="2"/>
        <v>28814.997934315819</v>
      </c>
      <c r="AS22" s="471">
        <f t="shared" si="3"/>
        <v>0.34212333483297219</v>
      </c>
    </row>
    <row r="23" spans="1:45" ht="15.75" customHeight="1">
      <c r="A23" s="474" t="s">
        <v>1120</v>
      </c>
      <c r="B23" s="475" t="s">
        <v>745</v>
      </c>
      <c r="C23" s="476">
        <v>33000</v>
      </c>
      <c r="D23" s="480" t="e">
        <f>'Bank CFA2014'!#REF!</f>
        <v>#REF!</v>
      </c>
      <c r="E23" s="480">
        <f>'Bank € 14 '!G20</f>
        <v>2383.33</v>
      </c>
      <c r="F23" s="461" t="e">
        <f t="shared" si="12"/>
        <v>#REF!</v>
      </c>
      <c r="G23" s="480">
        <f>1803881/655.957</f>
        <v>2749.9988566323709</v>
      </c>
      <c r="H23" s="480"/>
      <c r="I23" s="461">
        <f t="shared" si="13"/>
        <v>2749.9988566323709</v>
      </c>
      <c r="J23" s="480"/>
      <c r="K23" s="480"/>
      <c r="L23" s="462">
        <f t="shared" si="14"/>
        <v>0</v>
      </c>
      <c r="M23" s="480"/>
      <c r="N23" s="480"/>
      <c r="O23" s="462">
        <f t="shared" si="15"/>
        <v>0</v>
      </c>
      <c r="P23" s="480"/>
      <c r="Q23" s="480"/>
      <c r="R23" s="462">
        <f t="shared" si="16"/>
        <v>0</v>
      </c>
      <c r="S23" s="480">
        <f>630000/655.957</f>
        <v>960.42880859568538</v>
      </c>
      <c r="T23" s="480"/>
      <c r="U23" s="462">
        <f t="shared" si="17"/>
        <v>960.42880859568538</v>
      </c>
      <c r="V23" s="480"/>
      <c r="W23" s="480"/>
      <c r="X23" s="468"/>
      <c r="Y23" s="480"/>
      <c r="Z23" s="480"/>
      <c r="AA23" s="469"/>
      <c r="AB23" s="480"/>
      <c r="AC23" s="480"/>
      <c r="AD23" s="469"/>
      <c r="AE23" s="480"/>
      <c r="AF23" s="480"/>
      <c r="AG23" s="469"/>
      <c r="AH23" s="480"/>
      <c r="AI23" s="480"/>
      <c r="AJ23" s="469"/>
      <c r="AK23" s="480"/>
      <c r="AL23" s="480"/>
      <c r="AM23" s="469"/>
      <c r="AN23" s="480"/>
      <c r="AO23" s="480"/>
      <c r="AP23" s="469"/>
      <c r="AQ23" s="470" t="e">
        <f t="shared" si="1"/>
        <v>#REF!</v>
      </c>
      <c r="AR23" s="470" t="e">
        <f t="shared" si="2"/>
        <v>#REF!</v>
      </c>
      <c r="AS23" s="471" t="e">
        <f t="shared" si="3"/>
        <v>#REF!</v>
      </c>
    </row>
    <row r="24" spans="1:45" ht="15.75" customHeight="1">
      <c r="A24" s="474" t="s">
        <v>1121</v>
      </c>
      <c r="B24" s="475" t="s">
        <v>745</v>
      </c>
      <c r="C24" s="476">
        <v>18000</v>
      </c>
      <c r="D24" s="480" t="e">
        <f>'Bank CFA2014'!#REF!</f>
        <v>#REF!</v>
      </c>
      <c r="E24" s="480"/>
      <c r="F24" s="461" t="e">
        <f t="shared" si="12"/>
        <v>#REF!</v>
      </c>
      <c r="G24" s="480">
        <f>1475903/655.957</f>
        <v>2249.9996188774571</v>
      </c>
      <c r="H24" s="480"/>
      <c r="I24" s="461">
        <f t="shared" si="13"/>
        <v>2249.9996188774571</v>
      </c>
      <c r="J24" s="480"/>
      <c r="K24" s="480"/>
      <c r="L24" s="462">
        <f t="shared" si="14"/>
        <v>0</v>
      </c>
      <c r="M24" s="480">
        <f>1475903/655.957</f>
        <v>2249.9996188774571</v>
      </c>
      <c r="N24" s="480"/>
      <c r="O24" s="462">
        <f t="shared" si="15"/>
        <v>2249.9996188774571</v>
      </c>
      <c r="P24" s="480">
        <f>1475903/655.957</f>
        <v>2249.9996188774571</v>
      </c>
      <c r="Q24" s="480"/>
      <c r="R24" s="462">
        <f t="shared" si="16"/>
        <v>2249.9996188774571</v>
      </c>
      <c r="S24" s="480">
        <f>1475903/655.957</f>
        <v>2249.9996188774571</v>
      </c>
      <c r="T24" s="480"/>
      <c r="U24" s="462">
        <f t="shared" si="17"/>
        <v>2249.9996188774571</v>
      </c>
      <c r="V24" s="480"/>
      <c r="W24" s="480"/>
      <c r="X24" s="468"/>
      <c r="Y24" s="480"/>
      <c r="Z24" s="480"/>
      <c r="AA24" s="469"/>
      <c r="AB24" s="480"/>
      <c r="AC24" s="480"/>
      <c r="AD24" s="469"/>
      <c r="AE24" s="480"/>
      <c r="AF24" s="480"/>
      <c r="AG24" s="469"/>
      <c r="AH24" s="480"/>
      <c r="AI24" s="480"/>
      <c r="AJ24" s="469"/>
      <c r="AK24" s="480"/>
      <c r="AL24" s="480"/>
      <c r="AM24" s="469"/>
      <c r="AN24" s="480"/>
      <c r="AO24" s="480"/>
      <c r="AP24" s="469"/>
      <c r="AQ24" s="470" t="e">
        <f t="shared" si="1"/>
        <v>#REF!</v>
      </c>
      <c r="AR24" s="470" t="e">
        <f t="shared" si="2"/>
        <v>#REF!</v>
      </c>
      <c r="AS24" s="471" t="e">
        <f t="shared" si="3"/>
        <v>#REF!</v>
      </c>
    </row>
    <row r="25" spans="1:45" ht="22.5" customHeight="1">
      <c r="A25" s="474" t="s">
        <v>1122</v>
      </c>
      <c r="B25" s="475" t="s">
        <v>745</v>
      </c>
      <c r="C25" s="476">
        <v>23500</v>
      </c>
      <c r="D25" s="480">
        <v>0</v>
      </c>
      <c r="E25" s="480"/>
      <c r="F25" s="461">
        <f t="shared" si="12"/>
        <v>0</v>
      </c>
      <c r="G25" s="480"/>
      <c r="H25" s="480"/>
      <c r="I25" s="461">
        <f t="shared" si="13"/>
        <v>0</v>
      </c>
      <c r="J25" s="480"/>
      <c r="K25" s="480"/>
      <c r="L25" s="462">
        <f t="shared" si="14"/>
        <v>0</v>
      </c>
      <c r="M25" s="480"/>
      <c r="N25" s="480"/>
      <c r="O25" s="462">
        <f t="shared" si="15"/>
        <v>0</v>
      </c>
      <c r="P25" s="480"/>
      <c r="Q25" s="480"/>
      <c r="R25" s="462">
        <f t="shared" si="16"/>
        <v>0</v>
      </c>
      <c r="S25" s="480"/>
      <c r="T25" s="480"/>
      <c r="U25" s="462">
        <f t="shared" si="17"/>
        <v>0</v>
      </c>
      <c r="V25" s="480"/>
      <c r="W25" s="480"/>
      <c r="X25" s="468"/>
      <c r="Y25" s="480"/>
      <c r="Z25" s="480"/>
      <c r="AA25" s="469"/>
      <c r="AB25" s="480"/>
      <c r="AC25" s="480"/>
      <c r="AD25" s="469"/>
      <c r="AE25" s="480"/>
      <c r="AF25" s="480"/>
      <c r="AG25" s="469"/>
      <c r="AH25" s="480"/>
      <c r="AI25" s="480"/>
      <c r="AJ25" s="469"/>
      <c r="AK25" s="480"/>
      <c r="AL25" s="480"/>
      <c r="AM25" s="469"/>
      <c r="AN25" s="480"/>
      <c r="AO25" s="480"/>
      <c r="AP25" s="469"/>
      <c r="AQ25" s="470">
        <f t="shared" si="1"/>
        <v>0</v>
      </c>
      <c r="AR25" s="470">
        <f t="shared" si="2"/>
        <v>23500</v>
      </c>
      <c r="AS25" s="471">
        <f t="shared" si="3"/>
        <v>0</v>
      </c>
    </row>
    <row r="26" spans="1:45" ht="15.75" hidden="1" customHeight="1">
      <c r="A26" s="481" t="s">
        <v>1123</v>
      </c>
      <c r="B26" s="465" t="s">
        <v>745</v>
      </c>
      <c r="C26" s="482"/>
      <c r="D26" s="185"/>
      <c r="E26" s="467"/>
      <c r="F26" s="461"/>
      <c r="G26" s="467"/>
      <c r="H26" s="467"/>
      <c r="I26" s="461"/>
      <c r="J26" s="467"/>
      <c r="K26" s="467"/>
      <c r="L26" s="462"/>
      <c r="M26" s="467"/>
      <c r="N26" s="467"/>
      <c r="O26" s="462"/>
      <c r="P26" s="467"/>
      <c r="Q26" s="467"/>
      <c r="R26" s="462"/>
      <c r="S26" s="467"/>
      <c r="T26" s="467"/>
      <c r="U26" s="462">
        <f t="shared" si="17"/>
        <v>0</v>
      </c>
      <c r="V26" s="467"/>
      <c r="W26" s="467"/>
      <c r="X26" s="468"/>
      <c r="Y26" s="467"/>
      <c r="Z26" s="467"/>
      <c r="AA26" s="469"/>
      <c r="AB26" s="467"/>
      <c r="AC26" s="467"/>
      <c r="AD26" s="469"/>
      <c r="AE26" s="467"/>
      <c r="AF26" s="467"/>
      <c r="AG26" s="469"/>
      <c r="AH26" s="467"/>
      <c r="AI26" s="467"/>
      <c r="AJ26" s="469"/>
      <c r="AK26" s="467"/>
      <c r="AL26" s="467"/>
      <c r="AM26" s="469"/>
      <c r="AN26" s="467"/>
      <c r="AO26" s="467"/>
      <c r="AP26" s="469"/>
      <c r="AQ26" s="470">
        <f t="shared" si="1"/>
        <v>0</v>
      </c>
      <c r="AR26" s="470">
        <f t="shared" si="2"/>
        <v>0</v>
      </c>
      <c r="AS26" s="471" t="e">
        <f t="shared" si="3"/>
        <v>#DIV/0!</v>
      </c>
    </row>
    <row r="27" spans="1:45" ht="15.75" hidden="1" customHeight="1">
      <c r="A27" s="474" t="s">
        <v>1124</v>
      </c>
      <c r="B27" s="475" t="s">
        <v>1125</v>
      </c>
      <c r="C27" s="483"/>
      <c r="D27" s="480"/>
      <c r="E27" s="480"/>
      <c r="F27" s="461"/>
      <c r="G27" s="480"/>
      <c r="H27" s="480"/>
      <c r="I27" s="461"/>
      <c r="J27" s="480"/>
      <c r="K27" s="480"/>
      <c r="L27" s="462"/>
      <c r="M27" s="480"/>
      <c r="N27" s="480"/>
      <c r="O27" s="462"/>
      <c r="P27" s="480"/>
      <c r="Q27" s="480"/>
      <c r="R27" s="462"/>
      <c r="S27" s="480"/>
      <c r="T27" s="480"/>
      <c r="U27" s="462">
        <f t="shared" si="17"/>
        <v>0</v>
      </c>
      <c r="V27" s="480"/>
      <c r="W27" s="480"/>
      <c r="X27" s="468"/>
      <c r="Y27" s="480"/>
      <c r="Z27" s="480"/>
      <c r="AA27" s="469"/>
      <c r="AB27" s="480"/>
      <c r="AC27" s="480"/>
      <c r="AD27" s="469"/>
      <c r="AE27" s="480"/>
      <c r="AF27" s="480"/>
      <c r="AG27" s="469"/>
      <c r="AH27" s="480"/>
      <c r="AI27" s="480"/>
      <c r="AJ27" s="469"/>
      <c r="AK27" s="480"/>
      <c r="AL27" s="480"/>
      <c r="AM27" s="469"/>
      <c r="AN27" s="480"/>
      <c r="AO27" s="480"/>
      <c r="AP27" s="469"/>
      <c r="AQ27" s="470">
        <f t="shared" si="1"/>
        <v>0</v>
      </c>
      <c r="AR27" s="470">
        <f t="shared" si="2"/>
        <v>0</v>
      </c>
      <c r="AS27" s="471" t="e">
        <f t="shared" si="3"/>
        <v>#DIV/0!</v>
      </c>
    </row>
    <row r="28" spans="1:45" ht="15.75" customHeight="1">
      <c r="A28" s="484" t="s">
        <v>1126</v>
      </c>
      <c r="B28" s="485"/>
      <c r="C28" s="466"/>
      <c r="D28" s="467"/>
      <c r="E28" s="467"/>
      <c r="F28" s="461"/>
      <c r="G28" s="467"/>
      <c r="H28" s="467"/>
      <c r="I28" s="461"/>
      <c r="J28" s="467"/>
      <c r="K28" s="467"/>
      <c r="L28" s="462"/>
      <c r="M28" s="467"/>
      <c r="N28" s="467"/>
      <c r="O28" s="462"/>
      <c r="P28" s="467"/>
      <c r="Q28" s="467"/>
      <c r="R28" s="462"/>
      <c r="S28" s="467"/>
      <c r="T28" s="467"/>
      <c r="U28" s="462"/>
      <c r="V28" s="467"/>
      <c r="W28" s="467"/>
      <c r="X28" s="468"/>
      <c r="Y28" s="467"/>
      <c r="Z28" s="467"/>
      <c r="AA28" s="469"/>
      <c r="AB28" s="467"/>
      <c r="AC28" s="467"/>
      <c r="AD28" s="469"/>
      <c r="AE28" s="467"/>
      <c r="AF28" s="467"/>
      <c r="AG28" s="469"/>
      <c r="AH28" s="467"/>
      <c r="AI28" s="467"/>
      <c r="AJ28" s="469"/>
      <c r="AK28" s="467"/>
      <c r="AL28" s="467"/>
      <c r="AM28" s="469"/>
      <c r="AN28" s="467"/>
      <c r="AO28" s="467"/>
      <c r="AP28" s="469"/>
      <c r="AQ28" s="470"/>
      <c r="AR28" s="470"/>
      <c r="AS28" s="471"/>
    </row>
    <row r="29" spans="1:45" ht="15.75" customHeight="1">
      <c r="A29" s="472" t="s">
        <v>1127</v>
      </c>
      <c r="B29" s="473" t="s">
        <v>779</v>
      </c>
      <c r="C29" s="466">
        <f t="shared" ref="C29:U29" si="18">SUM(C30:C33)</f>
        <v>4200</v>
      </c>
      <c r="D29" s="467" t="e">
        <f t="shared" si="18"/>
        <v>#REF!</v>
      </c>
      <c r="E29" s="467">
        <f t="shared" si="18"/>
        <v>0</v>
      </c>
      <c r="F29" s="467" t="e">
        <f t="shared" si="18"/>
        <v>#REF!</v>
      </c>
      <c r="G29" s="467">
        <f t="shared" si="18"/>
        <v>0</v>
      </c>
      <c r="H29" s="467" t="e">
        <f t="shared" si="18"/>
        <v>#REF!</v>
      </c>
      <c r="I29" s="467" t="e">
        <f t="shared" si="18"/>
        <v>#REF!</v>
      </c>
      <c r="J29" s="467" t="e">
        <f t="shared" si="18"/>
        <v>#REF!</v>
      </c>
      <c r="K29" s="467" t="e">
        <f t="shared" si="18"/>
        <v>#REF!</v>
      </c>
      <c r="L29" s="467" t="e">
        <f t="shared" si="18"/>
        <v>#REF!</v>
      </c>
      <c r="M29" s="467">
        <f t="shared" si="18"/>
        <v>0</v>
      </c>
      <c r="N29" s="467">
        <f t="shared" si="18"/>
        <v>0</v>
      </c>
      <c r="O29" s="467">
        <f t="shared" si="18"/>
        <v>0</v>
      </c>
      <c r="P29" s="467" t="e">
        <f t="shared" si="18"/>
        <v>#REF!</v>
      </c>
      <c r="Q29" s="467">
        <f t="shared" si="18"/>
        <v>0</v>
      </c>
      <c r="R29" s="467" t="e">
        <f t="shared" si="18"/>
        <v>#REF!</v>
      </c>
      <c r="S29" s="467">
        <f t="shared" si="18"/>
        <v>0</v>
      </c>
      <c r="T29" s="467">
        <f t="shared" si="18"/>
        <v>0</v>
      </c>
      <c r="U29" s="467">
        <f t="shared" si="18"/>
        <v>0</v>
      </c>
      <c r="V29" s="467"/>
      <c r="W29" s="467"/>
      <c r="X29" s="468"/>
      <c r="Y29" s="467"/>
      <c r="Z29" s="467"/>
      <c r="AA29" s="469"/>
      <c r="AB29" s="467"/>
      <c r="AC29" s="467"/>
      <c r="AD29" s="469"/>
      <c r="AE29" s="467"/>
      <c r="AF29" s="467"/>
      <c r="AG29" s="469"/>
      <c r="AH29" s="467"/>
      <c r="AI29" s="467"/>
      <c r="AJ29" s="469"/>
      <c r="AK29" s="467"/>
      <c r="AL29" s="467"/>
      <c r="AM29" s="469"/>
      <c r="AN29" s="467"/>
      <c r="AO29" s="467"/>
      <c r="AP29" s="469"/>
      <c r="AQ29" s="486" t="e">
        <f t="shared" ref="AQ29:AQ45" si="19">F29+I29+L29+O29+R29+U29</f>
        <v>#REF!</v>
      </c>
      <c r="AR29" s="486" t="e">
        <f t="shared" ref="AR29:AR45" si="20">C29-AQ29</f>
        <v>#REF!</v>
      </c>
      <c r="AS29" s="487" t="e">
        <f>AQ29/C29</f>
        <v>#REF!</v>
      </c>
    </row>
    <row r="30" spans="1:45" ht="15.75" customHeight="1">
      <c r="A30" s="474" t="s">
        <v>1128</v>
      </c>
      <c r="B30" s="475" t="s">
        <v>779</v>
      </c>
      <c r="C30" s="476">
        <v>0</v>
      </c>
      <c r="D30" s="477"/>
      <c r="E30" s="477"/>
      <c r="F30" s="461">
        <f t="shared" ref="F30:F33" si="21">D30+E30</f>
        <v>0</v>
      </c>
      <c r="G30" s="477"/>
      <c r="H30" s="477"/>
      <c r="I30" s="462">
        <f t="shared" ref="I30:I33" si="22">G30+H30</f>
        <v>0</v>
      </c>
      <c r="J30" s="477"/>
      <c r="K30" s="477"/>
      <c r="L30" s="462">
        <f t="shared" ref="L30:L33" si="23">J30+K30</f>
        <v>0</v>
      </c>
      <c r="M30" s="477"/>
      <c r="N30" s="477"/>
      <c r="O30" s="462">
        <f t="shared" ref="O30:O33" si="24">M30+N30</f>
        <v>0</v>
      </c>
      <c r="P30" s="477"/>
      <c r="Q30" s="477"/>
      <c r="R30" s="462">
        <f t="shared" ref="R30:R33" si="25">P30+Q30</f>
        <v>0</v>
      </c>
      <c r="S30" s="477"/>
      <c r="T30" s="477"/>
      <c r="U30" s="462">
        <f t="shared" ref="U30:U33" si="26">S30+T30</f>
        <v>0</v>
      </c>
      <c r="V30" s="477"/>
      <c r="W30" s="477"/>
      <c r="X30" s="469"/>
      <c r="Y30" s="477"/>
      <c r="Z30" s="477"/>
      <c r="AA30" s="469"/>
      <c r="AB30" s="477"/>
      <c r="AC30" s="477"/>
      <c r="AD30" s="469"/>
      <c r="AE30" s="477"/>
      <c r="AF30" s="477"/>
      <c r="AG30" s="469"/>
      <c r="AH30" s="477"/>
      <c r="AI30" s="477"/>
      <c r="AJ30" s="469"/>
      <c r="AK30" s="477"/>
      <c r="AL30" s="477"/>
      <c r="AM30" s="469"/>
      <c r="AN30" s="477"/>
      <c r="AO30" s="477"/>
      <c r="AP30" s="469"/>
      <c r="AQ30" s="470">
        <f t="shared" si="19"/>
        <v>0</v>
      </c>
      <c r="AR30" s="470">
        <f t="shared" si="20"/>
        <v>0</v>
      </c>
      <c r="AS30" s="471"/>
    </row>
    <row r="31" spans="1:45" ht="15.75" customHeight="1">
      <c r="A31" s="474" t="s">
        <v>1129</v>
      </c>
      <c r="B31" s="475" t="s">
        <v>779</v>
      </c>
      <c r="C31" s="476">
        <v>1500</v>
      </c>
      <c r="D31" s="477"/>
      <c r="E31" s="477"/>
      <c r="F31" s="461">
        <f t="shared" si="21"/>
        <v>0</v>
      </c>
      <c r="G31" s="477"/>
      <c r="H31" s="477"/>
      <c r="I31" s="462">
        <f t="shared" si="22"/>
        <v>0</v>
      </c>
      <c r="J31" s="477"/>
      <c r="K31" s="477"/>
      <c r="L31" s="462">
        <f t="shared" si="23"/>
        <v>0</v>
      </c>
      <c r="M31" s="477"/>
      <c r="N31" s="477"/>
      <c r="O31" s="462">
        <f t="shared" si="24"/>
        <v>0</v>
      </c>
      <c r="P31" s="477"/>
      <c r="Q31" s="477"/>
      <c r="R31" s="462">
        <f t="shared" si="25"/>
        <v>0</v>
      </c>
      <c r="S31" s="477"/>
      <c r="T31" s="477"/>
      <c r="U31" s="462">
        <f t="shared" si="26"/>
        <v>0</v>
      </c>
      <c r="V31" s="477"/>
      <c r="W31" s="477"/>
      <c r="X31" s="469"/>
      <c r="Y31" s="477"/>
      <c r="Z31" s="477"/>
      <c r="AA31" s="469"/>
      <c r="AB31" s="477"/>
      <c r="AC31" s="477"/>
      <c r="AD31" s="469"/>
      <c r="AE31" s="477"/>
      <c r="AF31" s="477"/>
      <c r="AG31" s="469"/>
      <c r="AH31" s="477"/>
      <c r="AI31" s="477"/>
      <c r="AJ31" s="469"/>
      <c r="AK31" s="477"/>
      <c r="AL31" s="477"/>
      <c r="AM31" s="469"/>
      <c r="AN31" s="477"/>
      <c r="AO31" s="477"/>
      <c r="AP31" s="469"/>
      <c r="AQ31" s="470">
        <f t="shared" si="19"/>
        <v>0</v>
      </c>
      <c r="AR31" s="470">
        <f t="shared" si="20"/>
        <v>1500</v>
      </c>
      <c r="AS31" s="471">
        <f>AQ31/C31</f>
        <v>0</v>
      </c>
    </row>
    <row r="32" spans="1:45" ht="15.75" customHeight="1">
      <c r="A32" s="474" t="s">
        <v>1130</v>
      </c>
      <c r="B32" s="475" t="s">
        <v>779</v>
      </c>
      <c r="C32" s="476">
        <v>0</v>
      </c>
      <c r="D32" s="477"/>
      <c r="E32" s="477"/>
      <c r="F32" s="461">
        <f t="shared" si="21"/>
        <v>0</v>
      </c>
      <c r="G32" s="477"/>
      <c r="H32" s="477"/>
      <c r="I32" s="462">
        <f t="shared" si="22"/>
        <v>0</v>
      </c>
      <c r="J32" s="477"/>
      <c r="K32" s="477"/>
      <c r="L32" s="462">
        <f t="shared" si="23"/>
        <v>0</v>
      </c>
      <c r="M32" s="477"/>
      <c r="N32" s="477"/>
      <c r="O32" s="462">
        <f t="shared" si="24"/>
        <v>0</v>
      </c>
      <c r="P32" s="477"/>
      <c r="Q32" s="477"/>
      <c r="R32" s="462">
        <f t="shared" si="25"/>
        <v>0</v>
      </c>
      <c r="S32" s="477"/>
      <c r="T32" s="477"/>
      <c r="U32" s="462">
        <f t="shared" si="26"/>
        <v>0</v>
      </c>
      <c r="V32" s="477"/>
      <c r="W32" s="477"/>
      <c r="X32" s="469"/>
      <c r="Y32" s="477"/>
      <c r="Z32" s="477"/>
      <c r="AA32" s="469"/>
      <c r="AB32" s="477"/>
      <c r="AC32" s="477"/>
      <c r="AD32" s="469"/>
      <c r="AE32" s="477"/>
      <c r="AF32" s="477"/>
      <c r="AG32" s="469"/>
      <c r="AH32" s="477"/>
      <c r="AI32" s="477"/>
      <c r="AJ32" s="469"/>
      <c r="AK32" s="477"/>
      <c r="AL32" s="477"/>
      <c r="AM32" s="469"/>
      <c r="AN32" s="477"/>
      <c r="AO32" s="477"/>
      <c r="AP32" s="469"/>
      <c r="AQ32" s="470">
        <f t="shared" si="19"/>
        <v>0</v>
      </c>
      <c r="AR32" s="470">
        <f t="shared" si="20"/>
        <v>0</v>
      </c>
      <c r="AS32" s="471"/>
    </row>
    <row r="33" spans="1:45" ht="15.75" customHeight="1">
      <c r="A33" s="474" t="s">
        <v>1131</v>
      </c>
      <c r="B33" s="475" t="s">
        <v>779</v>
      </c>
      <c r="C33" s="476">
        <v>2700</v>
      </c>
      <c r="D33" s="477" t="e">
        <f>'Bank CFA2014'!#REF!</f>
        <v>#REF!</v>
      </c>
      <c r="E33" s="477"/>
      <c r="F33" s="461" t="e">
        <f t="shared" si="21"/>
        <v>#REF!</v>
      </c>
      <c r="G33" s="477"/>
      <c r="H33" s="477" t="e">
        <f>#REF!+#REF!+#REF!+#REF!</f>
        <v>#REF!</v>
      </c>
      <c r="I33" s="462" t="e">
        <f t="shared" si="22"/>
        <v>#REF!</v>
      </c>
      <c r="J33" s="477" t="e">
        <f>'Bank XOF'!#REF!/655.957+'Bank XOF'!#REF!/655.957+'Bank XOF'!#REF!/655.957+'Bank XOF'!#REF!/655.957</f>
        <v>#REF!</v>
      </c>
      <c r="K33" s="477" t="e">
        <f>#REF!+#REF!+#REF!+#REF!</f>
        <v>#REF!</v>
      </c>
      <c r="L33" s="462" t="e">
        <f t="shared" si="23"/>
        <v>#REF!</v>
      </c>
      <c r="M33" s="477"/>
      <c r="N33" s="477"/>
      <c r="O33" s="462">
        <f t="shared" si="24"/>
        <v>0</v>
      </c>
      <c r="P33" s="477" t="e">
        <f>59036/655.957+'Bank XOF'!#REF!/655.957</f>
        <v>#REF!</v>
      </c>
      <c r="Q33" s="477"/>
      <c r="R33" s="462" t="e">
        <f t="shared" si="25"/>
        <v>#REF!</v>
      </c>
      <c r="S33" s="477"/>
      <c r="T33" s="477"/>
      <c r="U33" s="462">
        <f t="shared" si="26"/>
        <v>0</v>
      </c>
      <c r="V33" s="477"/>
      <c r="W33" s="477"/>
      <c r="X33" s="469"/>
      <c r="Y33" s="477"/>
      <c r="Z33" s="477"/>
      <c r="AA33" s="469"/>
      <c r="AB33" s="477"/>
      <c r="AC33" s="477"/>
      <c r="AD33" s="469"/>
      <c r="AE33" s="477"/>
      <c r="AF33" s="477"/>
      <c r="AG33" s="469"/>
      <c r="AH33" s="477"/>
      <c r="AI33" s="477"/>
      <c r="AJ33" s="469"/>
      <c r="AK33" s="477"/>
      <c r="AL33" s="477"/>
      <c r="AM33" s="469"/>
      <c r="AN33" s="477"/>
      <c r="AO33" s="477"/>
      <c r="AP33" s="469"/>
      <c r="AQ33" s="486" t="e">
        <f t="shared" si="19"/>
        <v>#REF!</v>
      </c>
      <c r="AR33" s="486" t="e">
        <f t="shared" si="20"/>
        <v>#REF!</v>
      </c>
      <c r="AS33" s="487" t="e">
        <f t="shared" ref="AS33:AS45" si="27">AQ33/C33</f>
        <v>#REF!</v>
      </c>
    </row>
    <row r="34" spans="1:45" ht="15.75" hidden="1" customHeight="1">
      <c r="A34" s="474"/>
      <c r="B34" s="475"/>
      <c r="C34" s="476"/>
      <c r="D34" s="477"/>
      <c r="E34" s="477"/>
      <c r="F34" s="462"/>
      <c r="G34" s="477"/>
      <c r="H34" s="477"/>
      <c r="I34" s="462"/>
      <c r="J34" s="477"/>
      <c r="K34" s="477"/>
      <c r="L34" s="462"/>
      <c r="M34" s="477"/>
      <c r="N34" s="477"/>
      <c r="O34" s="462"/>
      <c r="P34" s="477"/>
      <c r="Q34" s="477"/>
      <c r="R34" s="462"/>
      <c r="S34" s="477"/>
      <c r="T34" s="477"/>
      <c r="U34" s="462"/>
      <c r="V34" s="477"/>
      <c r="W34" s="477"/>
      <c r="X34" s="469"/>
      <c r="Y34" s="477"/>
      <c r="Z34" s="477"/>
      <c r="AA34" s="469"/>
      <c r="AB34" s="477"/>
      <c r="AC34" s="477"/>
      <c r="AD34" s="469"/>
      <c r="AE34" s="477"/>
      <c r="AF34" s="477"/>
      <c r="AG34" s="469"/>
      <c r="AH34" s="477"/>
      <c r="AI34" s="477"/>
      <c r="AJ34" s="469"/>
      <c r="AK34" s="477"/>
      <c r="AL34" s="477"/>
      <c r="AM34" s="469"/>
      <c r="AN34" s="477"/>
      <c r="AO34" s="477"/>
      <c r="AP34" s="469"/>
      <c r="AQ34" s="470">
        <f t="shared" si="19"/>
        <v>0</v>
      </c>
      <c r="AR34" s="470">
        <f t="shared" si="20"/>
        <v>0</v>
      </c>
      <c r="AS34" s="471" t="e">
        <f t="shared" si="27"/>
        <v>#DIV/0!</v>
      </c>
    </row>
    <row r="35" spans="1:45" ht="15.75" hidden="1" customHeight="1">
      <c r="A35" s="472" t="s">
        <v>788</v>
      </c>
      <c r="B35" s="473" t="s">
        <v>779</v>
      </c>
      <c r="C35" s="466"/>
      <c r="D35" s="467"/>
      <c r="E35" s="467"/>
      <c r="F35" s="461"/>
      <c r="G35" s="467"/>
      <c r="H35" s="467"/>
      <c r="I35" s="461"/>
      <c r="J35" s="467"/>
      <c r="K35" s="467"/>
      <c r="L35" s="461"/>
      <c r="M35" s="467"/>
      <c r="N35" s="467"/>
      <c r="O35" s="461"/>
      <c r="P35" s="467"/>
      <c r="Q35" s="467"/>
      <c r="R35" s="461"/>
      <c r="S35" s="467"/>
      <c r="T35" s="467"/>
      <c r="U35" s="461"/>
      <c r="V35" s="467"/>
      <c r="W35" s="467"/>
      <c r="X35" s="468"/>
      <c r="Y35" s="467"/>
      <c r="Z35" s="467"/>
      <c r="AA35" s="468"/>
      <c r="AB35" s="467"/>
      <c r="AC35" s="467"/>
      <c r="AD35" s="468"/>
      <c r="AE35" s="467"/>
      <c r="AF35" s="467"/>
      <c r="AG35" s="468"/>
      <c r="AH35" s="467"/>
      <c r="AI35" s="467"/>
      <c r="AJ35" s="468"/>
      <c r="AK35" s="467"/>
      <c r="AL35" s="467"/>
      <c r="AM35" s="468"/>
      <c r="AN35" s="467"/>
      <c r="AO35" s="467"/>
      <c r="AP35" s="468"/>
      <c r="AQ35" s="470">
        <f t="shared" si="19"/>
        <v>0</v>
      </c>
      <c r="AR35" s="470">
        <f t="shared" si="20"/>
        <v>0</v>
      </c>
      <c r="AS35" s="471" t="e">
        <f t="shared" si="27"/>
        <v>#DIV/0!</v>
      </c>
    </row>
    <row r="36" spans="1:45" ht="15.75" customHeight="1">
      <c r="A36" s="472" t="s">
        <v>1132</v>
      </c>
      <c r="B36" s="473" t="s">
        <v>779</v>
      </c>
      <c r="C36" s="466">
        <f t="shared" ref="C36:U36" si="28">SUM(C37:C43)</f>
        <v>38400</v>
      </c>
      <c r="D36" s="467">
        <f t="shared" si="28"/>
        <v>0</v>
      </c>
      <c r="E36" s="467">
        <f t="shared" si="28"/>
        <v>2925</v>
      </c>
      <c r="F36" s="467">
        <f t="shared" si="28"/>
        <v>2925</v>
      </c>
      <c r="G36" s="467">
        <f t="shared" si="28"/>
        <v>0</v>
      </c>
      <c r="H36" s="467" t="e">
        <f t="shared" si="28"/>
        <v>#REF!</v>
      </c>
      <c r="I36" s="467" t="e">
        <f t="shared" si="28"/>
        <v>#REF!</v>
      </c>
      <c r="J36" s="467">
        <f t="shared" si="28"/>
        <v>0</v>
      </c>
      <c r="K36" s="467">
        <f t="shared" si="28"/>
        <v>0</v>
      </c>
      <c r="L36" s="467">
        <f t="shared" si="28"/>
        <v>0</v>
      </c>
      <c r="M36" s="467">
        <f t="shared" si="28"/>
        <v>0</v>
      </c>
      <c r="N36" s="467" t="e">
        <f t="shared" si="28"/>
        <v>#REF!</v>
      </c>
      <c r="O36" s="467" t="e">
        <f t="shared" si="28"/>
        <v>#REF!</v>
      </c>
      <c r="P36" s="467">
        <f t="shared" si="28"/>
        <v>0</v>
      </c>
      <c r="Q36" s="467">
        <f t="shared" si="28"/>
        <v>3675</v>
      </c>
      <c r="R36" s="467">
        <f t="shared" si="28"/>
        <v>3675</v>
      </c>
      <c r="S36" s="467">
        <f t="shared" si="28"/>
        <v>0</v>
      </c>
      <c r="T36" s="467" t="e">
        <f t="shared" si="28"/>
        <v>#REF!</v>
      </c>
      <c r="U36" s="467" t="e">
        <f t="shared" si="28"/>
        <v>#REF!</v>
      </c>
      <c r="V36" s="467"/>
      <c r="W36" s="467"/>
      <c r="X36" s="468"/>
      <c r="Y36" s="467"/>
      <c r="Z36" s="467"/>
      <c r="AA36" s="468"/>
      <c r="AB36" s="467"/>
      <c r="AC36" s="467"/>
      <c r="AD36" s="468"/>
      <c r="AE36" s="467"/>
      <c r="AF36" s="467"/>
      <c r="AG36" s="468"/>
      <c r="AH36" s="467"/>
      <c r="AI36" s="467"/>
      <c r="AJ36" s="468"/>
      <c r="AK36" s="467"/>
      <c r="AL36" s="467"/>
      <c r="AM36" s="468"/>
      <c r="AN36" s="467"/>
      <c r="AO36" s="467"/>
      <c r="AP36" s="468"/>
      <c r="AQ36" s="470" t="e">
        <f t="shared" si="19"/>
        <v>#REF!</v>
      </c>
      <c r="AR36" s="470" t="e">
        <f t="shared" si="20"/>
        <v>#REF!</v>
      </c>
      <c r="AS36" s="471" t="e">
        <f t="shared" si="27"/>
        <v>#REF!</v>
      </c>
    </row>
    <row r="37" spans="1:45" ht="15.75" customHeight="1">
      <c r="A37" s="474" t="s">
        <v>1133</v>
      </c>
      <c r="B37" s="475" t="s">
        <v>779</v>
      </c>
      <c r="C37" s="476">
        <v>26250</v>
      </c>
      <c r="D37" s="477"/>
      <c r="E37" s="477"/>
      <c r="F37" s="462">
        <f t="shared" ref="F37:F43" si="29">D37+E37</f>
        <v>0</v>
      </c>
      <c r="G37" s="477"/>
      <c r="H37" s="477"/>
      <c r="I37" s="462">
        <f t="shared" ref="I37:I43" si="30">G37+H37</f>
        <v>0</v>
      </c>
      <c r="J37" s="477"/>
      <c r="K37" s="477"/>
      <c r="L37" s="462">
        <f t="shared" ref="L37:L43" si="31">J37+K37</f>
        <v>0</v>
      </c>
      <c r="M37" s="477"/>
      <c r="N37" s="477"/>
      <c r="O37" s="462">
        <f t="shared" ref="O37:O43" si="32">M37+N37</f>
        <v>0</v>
      </c>
      <c r="P37" s="477"/>
      <c r="Q37" s="477"/>
      <c r="R37" s="462">
        <f t="shared" ref="R37:R43" si="33">P37+Q37</f>
        <v>0</v>
      </c>
      <c r="S37" s="477"/>
      <c r="T37" s="477"/>
      <c r="U37" s="462">
        <f t="shared" ref="U37:U43" si="34">S37+T37</f>
        <v>0</v>
      </c>
      <c r="V37" s="477"/>
      <c r="W37" s="477"/>
      <c r="X37" s="469"/>
      <c r="Y37" s="477"/>
      <c r="Z37" s="477"/>
      <c r="AA37" s="469"/>
      <c r="AB37" s="477"/>
      <c r="AC37" s="477"/>
      <c r="AD37" s="469"/>
      <c r="AE37" s="477"/>
      <c r="AF37" s="477"/>
      <c r="AG37" s="469"/>
      <c r="AH37" s="477"/>
      <c r="AI37" s="477"/>
      <c r="AJ37" s="469"/>
      <c r="AK37" s="477"/>
      <c r="AL37" s="477"/>
      <c r="AM37" s="469"/>
      <c r="AN37" s="477"/>
      <c r="AO37" s="477"/>
      <c r="AP37" s="469"/>
      <c r="AQ37" s="470">
        <f t="shared" si="19"/>
        <v>0</v>
      </c>
      <c r="AR37" s="470">
        <f t="shared" si="20"/>
        <v>26250</v>
      </c>
      <c r="AS37" s="471">
        <f t="shared" si="27"/>
        <v>0</v>
      </c>
    </row>
    <row r="38" spans="1:45" ht="15.75" hidden="1" customHeight="1">
      <c r="A38" s="474" t="s">
        <v>1134</v>
      </c>
      <c r="B38" s="475" t="s">
        <v>779</v>
      </c>
      <c r="C38" s="476">
        <v>0</v>
      </c>
      <c r="D38" s="477"/>
      <c r="E38" s="477"/>
      <c r="F38" s="462">
        <f t="shared" si="29"/>
        <v>0</v>
      </c>
      <c r="G38" s="477"/>
      <c r="H38" s="477"/>
      <c r="I38" s="462">
        <f t="shared" si="30"/>
        <v>0</v>
      </c>
      <c r="J38" s="477"/>
      <c r="K38" s="477"/>
      <c r="L38" s="462">
        <f t="shared" si="31"/>
        <v>0</v>
      </c>
      <c r="M38" s="477"/>
      <c r="N38" s="477"/>
      <c r="O38" s="462">
        <f t="shared" si="32"/>
        <v>0</v>
      </c>
      <c r="P38" s="477"/>
      <c r="Q38" s="477"/>
      <c r="R38" s="462">
        <f t="shared" si="33"/>
        <v>0</v>
      </c>
      <c r="S38" s="477"/>
      <c r="T38" s="477"/>
      <c r="U38" s="462">
        <f t="shared" si="34"/>
        <v>0</v>
      </c>
      <c r="V38" s="477"/>
      <c r="W38" s="477"/>
      <c r="X38" s="469"/>
      <c r="Y38" s="477"/>
      <c r="Z38" s="477"/>
      <c r="AA38" s="469"/>
      <c r="AB38" s="477"/>
      <c r="AC38" s="477"/>
      <c r="AD38" s="469"/>
      <c r="AE38" s="477"/>
      <c r="AF38" s="477"/>
      <c r="AG38" s="469"/>
      <c r="AH38" s="477"/>
      <c r="AI38" s="477"/>
      <c r="AJ38" s="469"/>
      <c r="AK38" s="477"/>
      <c r="AL38" s="477"/>
      <c r="AM38" s="469"/>
      <c r="AN38" s="477"/>
      <c r="AO38" s="477"/>
      <c r="AP38" s="469"/>
      <c r="AQ38" s="470">
        <f t="shared" si="19"/>
        <v>0</v>
      </c>
      <c r="AR38" s="470">
        <f t="shared" si="20"/>
        <v>0</v>
      </c>
      <c r="AS38" s="471" t="e">
        <f t="shared" si="27"/>
        <v>#DIV/0!</v>
      </c>
    </row>
    <row r="39" spans="1:45" ht="15.75" hidden="1" customHeight="1">
      <c r="A39" s="474" t="s">
        <v>1135</v>
      </c>
      <c r="B39" s="475" t="s">
        <v>779</v>
      </c>
      <c r="C39" s="476">
        <v>0</v>
      </c>
      <c r="D39" s="477"/>
      <c r="E39" s="477"/>
      <c r="F39" s="462">
        <f t="shared" si="29"/>
        <v>0</v>
      </c>
      <c r="G39" s="477"/>
      <c r="H39" s="477"/>
      <c r="I39" s="462">
        <f t="shared" si="30"/>
        <v>0</v>
      </c>
      <c r="J39" s="477"/>
      <c r="K39" s="477"/>
      <c r="L39" s="462">
        <f t="shared" si="31"/>
        <v>0</v>
      </c>
      <c r="M39" s="477"/>
      <c r="N39" s="477"/>
      <c r="O39" s="462">
        <f t="shared" si="32"/>
        <v>0</v>
      </c>
      <c r="P39" s="477"/>
      <c r="Q39" s="477"/>
      <c r="R39" s="462">
        <f t="shared" si="33"/>
        <v>0</v>
      </c>
      <c r="S39" s="477"/>
      <c r="T39" s="477"/>
      <c r="U39" s="462">
        <f t="shared" si="34"/>
        <v>0</v>
      </c>
      <c r="V39" s="477"/>
      <c r="W39" s="477"/>
      <c r="X39" s="469"/>
      <c r="Y39" s="477"/>
      <c r="Z39" s="477"/>
      <c r="AA39" s="469"/>
      <c r="AB39" s="477"/>
      <c r="AC39" s="477"/>
      <c r="AD39" s="469"/>
      <c r="AE39" s="477"/>
      <c r="AF39" s="477"/>
      <c r="AG39" s="469"/>
      <c r="AH39" s="477"/>
      <c r="AI39" s="477"/>
      <c r="AJ39" s="469"/>
      <c r="AK39" s="477"/>
      <c r="AL39" s="477"/>
      <c r="AM39" s="469"/>
      <c r="AN39" s="477"/>
      <c r="AO39" s="477"/>
      <c r="AP39" s="469"/>
      <c r="AQ39" s="470">
        <f t="shared" si="19"/>
        <v>0</v>
      </c>
      <c r="AR39" s="470">
        <f t="shared" si="20"/>
        <v>0</v>
      </c>
      <c r="AS39" s="471" t="e">
        <f t="shared" si="27"/>
        <v>#DIV/0!</v>
      </c>
    </row>
    <row r="40" spans="1:45" ht="15.75" hidden="1" customHeight="1">
      <c r="A40" s="474" t="s">
        <v>1136</v>
      </c>
      <c r="B40" s="475" t="s">
        <v>779</v>
      </c>
      <c r="C40" s="476">
        <v>0</v>
      </c>
      <c r="D40" s="477"/>
      <c r="E40" s="477"/>
      <c r="F40" s="462">
        <f t="shared" si="29"/>
        <v>0</v>
      </c>
      <c r="G40" s="477"/>
      <c r="H40" s="477"/>
      <c r="I40" s="462">
        <f t="shared" si="30"/>
        <v>0</v>
      </c>
      <c r="J40" s="477"/>
      <c r="K40" s="477"/>
      <c r="L40" s="462">
        <f t="shared" si="31"/>
        <v>0</v>
      </c>
      <c r="M40" s="477"/>
      <c r="N40" s="477"/>
      <c r="O40" s="462">
        <f t="shared" si="32"/>
        <v>0</v>
      </c>
      <c r="P40" s="477"/>
      <c r="Q40" s="477"/>
      <c r="R40" s="462">
        <f t="shared" si="33"/>
        <v>0</v>
      </c>
      <c r="S40" s="477"/>
      <c r="T40" s="477"/>
      <c r="U40" s="462">
        <f t="shared" si="34"/>
        <v>0</v>
      </c>
      <c r="V40" s="477"/>
      <c r="W40" s="477"/>
      <c r="X40" s="469"/>
      <c r="Y40" s="477"/>
      <c r="Z40" s="477"/>
      <c r="AA40" s="469"/>
      <c r="AB40" s="477"/>
      <c r="AC40" s="477"/>
      <c r="AD40" s="469"/>
      <c r="AE40" s="477"/>
      <c r="AF40" s="477"/>
      <c r="AG40" s="469"/>
      <c r="AH40" s="477"/>
      <c r="AI40" s="477"/>
      <c r="AJ40" s="469"/>
      <c r="AK40" s="477"/>
      <c r="AL40" s="477"/>
      <c r="AM40" s="469"/>
      <c r="AN40" s="477"/>
      <c r="AO40" s="477"/>
      <c r="AP40" s="469"/>
      <c r="AQ40" s="470">
        <f t="shared" si="19"/>
        <v>0</v>
      </c>
      <c r="AR40" s="470">
        <f t="shared" si="20"/>
        <v>0</v>
      </c>
      <c r="AS40" s="471" t="e">
        <f t="shared" si="27"/>
        <v>#DIV/0!</v>
      </c>
    </row>
    <row r="41" spans="1:45" ht="15.75" hidden="1" customHeight="1">
      <c r="A41" s="474" t="s">
        <v>1137</v>
      </c>
      <c r="B41" s="475" t="s">
        <v>779</v>
      </c>
      <c r="C41" s="476">
        <v>0</v>
      </c>
      <c r="D41" s="477"/>
      <c r="E41" s="477"/>
      <c r="F41" s="462">
        <f t="shared" si="29"/>
        <v>0</v>
      </c>
      <c r="G41" s="477"/>
      <c r="H41" s="477"/>
      <c r="I41" s="462">
        <f t="shared" si="30"/>
        <v>0</v>
      </c>
      <c r="J41" s="477"/>
      <c r="K41" s="477"/>
      <c r="L41" s="462">
        <f t="shared" si="31"/>
        <v>0</v>
      </c>
      <c r="M41" s="477"/>
      <c r="N41" s="477"/>
      <c r="O41" s="462">
        <f t="shared" si="32"/>
        <v>0</v>
      </c>
      <c r="P41" s="477"/>
      <c r="Q41" s="477"/>
      <c r="R41" s="462">
        <f t="shared" si="33"/>
        <v>0</v>
      </c>
      <c r="S41" s="477"/>
      <c r="T41" s="477"/>
      <c r="U41" s="462">
        <f t="shared" si="34"/>
        <v>0</v>
      </c>
      <c r="V41" s="477"/>
      <c r="W41" s="477"/>
      <c r="X41" s="469"/>
      <c r="Y41" s="477"/>
      <c r="Z41" s="477"/>
      <c r="AA41" s="469"/>
      <c r="AB41" s="477"/>
      <c r="AC41" s="477"/>
      <c r="AD41" s="469"/>
      <c r="AE41" s="477"/>
      <c r="AF41" s="477"/>
      <c r="AG41" s="469"/>
      <c r="AH41" s="477"/>
      <c r="AI41" s="477"/>
      <c r="AJ41" s="469"/>
      <c r="AK41" s="477"/>
      <c r="AL41" s="477"/>
      <c r="AM41" s="469"/>
      <c r="AN41" s="477"/>
      <c r="AO41" s="477"/>
      <c r="AP41" s="469"/>
      <c r="AQ41" s="470">
        <f t="shared" si="19"/>
        <v>0</v>
      </c>
      <c r="AR41" s="470">
        <f t="shared" si="20"/>
        <v>0</v>
      </c>
      <c r="AS41" s="471" t="e">
        <f t="shared" si="27"/>
        <v>#DIV/0!</v>
      </c>
    </row>
    <row r="42" spans="1:45" ht="15.75" hidden="1" customHeight="1">
      <c r="A42" s="474" t="s">
        <v>1138</v>
      </c>
      <c r="B42" s="475" t="s">
        <v>779</v>
      </c>
      <c r="C42" s="476">
        <v>0</v>
      </c>
      <c r="D42" s="477"/>
      <c r="E42" s="477"/>
      <c r="F42" s="462">
        <f t="shared" si="29"/>
        <v>0</v>
      </c>
      <c r="G42" s="477"/>
      <c r="H42" s="477"/>
      <c r="I42" s="462">
        <f t="shared" si="30"/>
        <v>0</v>
      </c>
      <c r="J42" s="477"/>
      <c r="K42" s="477"/>
      <c r="L42" s="462">
        <f t="shared" si="31"/>
        <v>0</v>
      </c>
      <c r="M42" s="477"/>
      <c r="N42" s="477"/>
      <c r="O42" s="462">
        <f t="shared" si="32"/>
        <v>0</v>
      </c>
      <c r="P42" s="477"/>
      <c r="Q42" s="477"/>
      <c r="R42" s="462">
        <f t="shared" si="33"/>
        <v>0</v>
      </c>
      <c r="S42" s="477"/>
      <c r="T42" s="477"/>
      <c r="U42" s="462">
        <f t="shared" si="34"/>
        <v>0</v>
      </c>
      <c r="V42" s="477"/>
      <c r="W42" s="477"/>
      <c r="X42" s="469"/>
      <c r="Y42" s="477"/>
      <c r="Z42" s="477"/>
      <c r="AA42" s="469"/>
      <c r="AB42" s="477"/>
      <c r="AC42" s="477"/>
      <c r="AD42" s="469"/>
      <c r="AE42" s="477"/>
      <c r="AF42" s="477"/>
      <c r="AG42" s="469"/>
      <c r="AH42" s="477"/>
      <c r="AI42" s="477"/>
      <c r="AJ42" s="469"/>
      <c r="AK42" s="477"/>
      <c r="AL42" s="477"/>
      <c r="AM42" s="469"/>
      <c r="AN42" s="477"/>
      <c r="AO42" s="477"/>
      <c r="AP42" s="469"/>
      <c r="AQ42" s="470">
        <f t="shared" si="19"/>
        <v>0</v>
      </c>
      <c r="AR42" s="470">
        <f t="shared" si="20"/>
        <v>0</v>
      </c>
      <c r="AS42" s="471" t="e">
        <f t="shared" si="27"/>
        <v>#DIV/0!</v>
      </c>
    </row>
    <row r="43" spans="1:45" ht="15.75" customHeight="1">
      <c r="A43" s="474" t="s">
        <v>1139</v>
      </c>
      <c r="B43" s="475" t="s">
        <v>779</v>
      </c>
      <c r="C43" s="476">
        <v>12150</v>
      </c>
      <c r="D43" s="477"/>
      <c r="E43" s="477">
        <f>6300-3375</f>
        <v>2925</v>
      </c>
      <c r="F43" s="462">
        <f t="shared" si="29"/>
        <v>2925</v>
      </c>
      <c r="G43" s="477"/>
      <c r="H43" s="477" t="e">
        <f>#REF!+#REF!+#REF!+#REF!+#REF!</f>
        <v>#REF!</v>
      </c>
      <c r="I43" s="462" t="e">
        <f t="shared" si="30"/>
        <v>#REF!</v>
      </c>
      <c r="J43" s="477"/>
      <c r="K43" s="477"/>
      <c r="L43" s="462">
        <f t="shared" si="31"/>
        <v>0</v>
      </c>
      <c r="M43" s="477"/>
      <c r="N43" s="477" t="e">
        <f>#REF!+#REF!+#REF!</f>
        <v>#REF!</v>
      </c>
      <c r="O43" s="462" t="e">
        <f t="shared" si="32"/>
        <v>#REF!</v>
      </c>
      <c r="P43" s="477"/>
      <c r="Q43" s="477">
        <f>3675</f>
        <v>3675</v>
      </c>
      <c r="R43" s="462">
        <f t="shared" si="33"/>
        <v>3675</v>
      </c>
      <c r="S43" s="477"/>
      <c r="T43" s="477" t="e">
        <f>#REF!+#REF!</f>
        <v>#REF!</v>
      </c>
      <c r="U43" s="462" t="e">
        <f t="shared" si="34"/>
        <v>#REF!</v>
      </c>
      <c r="V43" s="477"/>
      <c r="W43" s="477"/>
      <c r="X43" s="469"/>
      <c r="Y43" s="477"/>
      <c r="Z43" s="477"/>
      <c r="AA43" s="469"/>
      <c r="AB43" s="477"/>
      <c r="AC43" s="477"/>
      <c r="AD43" s="469"/>
      <c r="AE43" s="477"/>
      <c r="AF43" s="477"/>
      <c r="AG43" s="469"/>
      <c r="AH43" s="477"/>
      <c r="AI43" s="477"/>
      <c r="AJ43" s="469"/>
      <c r="AK43" s="477"/>
      <c r="AL43" s="477"/>
      <c r="AM43" s="469"/>
      <c r="AN43" s="477"/>
      <c r="AO43" s="477"/>
      <c r="AP43" s="469"/>
      <c r="AQ43" s="470" t="e">
        <f t="shared" si="19"/>
        <v>#REF!</v>
      </c>
      <c r="AR43" s="470" t="e">
        <f t="shared" si="20"/>
        <v>#REF!</v>
      </c>
      <c r="AS43" s="471" t="e">
        <f t="shared" si="27"/>
        <v>#REF!</v>
      </c>
    </row>
    <row r="44" spans="1:45" ht="15.75" hidden="1" customHeight="1">
      <c r="A44" s="474"/>
      <c r="B44" s="475"/>
      <c r="C44" s="476"/>
      <c r="D44" s="477"/>
      <c r="E44" s="477"/>
      <c r="F44" s="462"/>
      <c r="G44" s="477"/>
      <c r="H44" s="477"/>
      <c r="I44" s="462"/>
      <c r="J44" s="477"/>
      <c r="K44" s="477"/>
      <c r="L44" s="462"/>
      <c r="M44" s="477"/>
      <c r="N44" s="477"/>
      <c r="O44" s="462"/>
      <c r="P44" s="477"/>
      <c r="Q44" s="477"/>
      <c r="R44" s="462"/>
      <c r="S44" s="477"/>
      <c r="T44" s="477"/>
      <c r="U44" s="462"/>
      <c r="V44" s="477"/>
      <c r="W44" s="477"/>
      <c r="X44" s="469"/>
      <c r="Y44" s="477"/>
      <c r="Z44" s="477"/>
      <c r="AA44" s="469"/>
      <c r="AB44" s="477"/>
      <c r="AC44" s="477"/>
      <c r="AD44" s="469"/>
      <c r="AE44" s="477"/>
      <c r="AF44" s="477"/>
      <c r="AG44" s="469"/>
      <c r="AH44" s="477"/>
      <c r="AI44" s="477"/>
      <c r="AJ44" s="469"/>
      <c r="AK44" s="477"/>
      <c r="AL44" s="477"/>
      <c r="AM44" s="469"/>
      <c r="AN44" s="477"/>
      <c r="AO44" s="477"/>
      <c r="AP44" s="469"/>
      <c r="AQ44" s="470">
        <f t="shared" si="19"/>
        <v>0</v>
      </c>
      <c r="AR44" s="470">
        <f t="shared" si="20"/>
        <v>0</v>
      </c>
      <c r="AS44" s="471" t="e">
        <f t="shared" si="27"/>
        <v>#DIV/0!</v>
      </c>
    </row>
    <row r="45" spans="1:45" ht="15.75" customHeight="1">
      <c r="A45" s="488" t="s">
        <v>794</v>
      </c>
      <c r="B45" s="489"/>
      <c r="C45" s="490">
        <f t="shared" ref="C45:U45" si="35">C36+C29+C21+C9</f>
        <v>393900</v>
      </c>
      <c r="D45" s="491" t="e">
        <f t="shared" si="35"/>
        <v>#REF!</v>
      </c>
      <c r="E45" s="491">
        <f t="shared" si="35"/>
        <v>7758.33</v>
      </c>
      <c r="F45" s="491" t="e">
        <f t="shared" si="35"/>
        <v>#REF!</v>
      </c>
      <c r="G45" s="491">
        <f t="shared" si="35"/>
        <v>16745.977251557648</v>
      </c>
      <c r="H45" s="491" t="e">
        <f t="shared" si="35"/>
        <v>#REF!</v>
      </c>
      <c r="I45" s="491" t="e">
        <f t="shared" si="35"/>
        <v>#REF!</v>
      </c>
      <c r="J45" s="491" t="e">
        <f t="shared" si="35"/>
        <v>#REF!</v>
      </c>
      <c r="K45" s="491" t="e">
        <f t="shared" si="35"/>
        <v>#REF!</v>
      </c>
      <c r="L45" s="491" t="e">
        <f t="shared" si="35"/>
        <v>#REF!</v>
      </c>
      <c r="M45" s="491" t="e">
        <f t="shared" si="35"/>
        <v>#REF!</v>
      </c>
      <c r="N45" s="491" t="e">
        <f t="shared" si="35"/>
        <v>#REF!</v>
      </c>
      <c r="O45" s="491" t="e">
        <f t="shared" si="35"/>
        <v>#REF!</v>
      </c>
      <c r="P45" s="491" t="e">
        <f t="shared" si="35"/>
        <v>#REF!</v>
      </c>
      <c r="Q45" s="491">
        <f t="shared" si="35"/>
        <v>3675</v>
      </c>
      <c r="R45" s="491" t="e">
        <f t="shared" si="35"/>
        <v>#REF!</v>
      </c>
      <c r="S45" s="491" t="e">
        <f t="shared" si="35"/>
        <v>#REF!</v>
      </c>
      <c r="T45" s="491" t="e">
        <f t="shared" si="35"/>
        <v>#REF!</v>
      </c>
      <c r="U45" s="491" t="e">
        <f t="shared" si="35"/>
        <v>#REF!</v>
      </c>
      <c r="V45" s="491"/>
      <c r="W45" s="492"/>
      <c r="X45" s="493"/>
      <c r="Y45" s="491"/>
      <c r="Z45" s="492"/>
      <c r="AA45" s="493"/>
      <c r="AB45" s="491"/>
      <c r="AC45" s="492"/>
      <c r="AD45" s="493"/>
      <c r="AE45" s="491"/>
      <c r="AF45" s="492"/>
      <c r="AG45" s="493"/>
      <c r="AH45" s="491"/>
      <c r="AI45" s="492"/>
      <c r="AJ45" s="493"/>
      <c r="AK45" s="491"/>
      <c r="AL45" s="492"/>
      <c r="AM45" s="493"/>
      <c r="AN45" s="491"/>
      <c r="AO45" s="492"/>
      <c r="AP45" s="493"/>
      <c r="AQ45" s="494" t="e">
        <f t="shared" si="19"/>
        <v>#REF!</v>
      </c>
      <c r="AR45" s="494" t="e">
        <f t="shared" si="20"/>
        <v>#REF!</v>
      </c>
      <c r="AS45" s="495" t="e">
        <f t="shared" si="27"/>
        <v>#REF!</v>
      </c>
    </row>
    <row r="46" spans="1:45" ht="15.75" customHeight="1">
      <c r="A46" s="496" t="s">
        <v>1140</v>
      </c>
      <c r="B46" s="497"/>
      <c r="C46" s="466"/>
      <c r="D46" s="467"/>
      <c r="E46" s="467"/>
      <c r="F46" s="461"/>
      <c r="G46" s="467"/>
      <c r="H46" s="467"/>
      <c r="I46" s="461"/>
      <c r="J46" s="467"/>
      <c r="K46" s="467"/>
      <c r="L46" s="461"/>
      <c r="M46" s="467"/>
      <c r="N46" s="467"/>
      <c r="O46" s="461"/>
      <c r="P46" s="467"/>
      <c r="Q46" s="467"/>
      <c r="R46" s="461"/>
      <c r="S46" s="467"/>
      <c r="T46" s="467"/>
      <c r="U46" s="461"/>
      <c r="V46" s="467"/>
      <c r="W46" s="467"/>
      <c r="X46" s="468"/>
      <c r="Y46" s="467"/>
      <c r="Z46" s="467"/>
      <c r="AA46" s="468"/>
      <c r="AB46" s="467"/>
      <c r="AC46" s="467"/>
      <c r="AD46" s="468"/>
      <c r="AE46" s="467"/>
      <c r="AF46" s="467"/>
      <c r="AG46" s="468"/>
      <c r="AH46" s="467"/>
      <c r="AI46" s="467"/>
      <c r="AJ46" s="468"/>
      <c r="AK46" s="467"/>
      <c r="AL46" s="467"/>
      <c r="AM46" s="468"/>
      <c r="AN46" s="467"/>
      <c r="AO46" s="467"/>
      <c r="AP46" s="468"/>
      <c r="AQ46" s="470"/>
      <c r="AR46" s="470"/>
      <c r="AS46" s="471"/>
    </row>
    <row r="47" spans="1:45" ht="15.75" customHeight="1">
      <c r="A47" s="464" t="s">
        <v>795</v>
      </c>
      <c r="B47" s="465" t="s">
        <v>796</v>
      </c>
      <c r="C47" s="466">
        <f t="shared" ref="C47:U47" si="36">SUM(C48:C59)</f>
        <v>50400</v>
      </c>
      <c r="D47" s="467" t="e">
        <f t="shared" si="36"/>
        <v>#REF!</v>
      </c>
      <c r="E47" s="467">
        <f t="shared" si="36"/>
        <v>0</v>
      </c>
      <c r="F47" s="467" t="e">
        <f t="shared" si="36"/>
        <v>#REF!</v>
      </c>
      <c r="G47" s="467">
        <f t="shared" si="36"/>
        <v>0</v>
      </c>
      <c r="H47" s="467">
        <f t="shared" si="36"/>
        <v>0</v>
      </c>
      <c r="I47" s="467">
        <f t="shared" si="36"/>
        <v>0</v>
      </c>
      <c r="J47" s="467" t="e">
        <f t="shared" si="36"/>
        <v>#REF!</v>
      </c>
      <c r="K47" s="467">
        <f t="shared" si="36"/>
        <v>0</v>
      </c>
      <c r="L47" s="467" t="e">
        <f t="shared" si="36"/>
        <v>#REF!</v>
      </c>
      <c r="M47" s="467" t="e">
        <f t="shared" si="36"/>
        <v>#REF!</v>
      </c>
      <c r="N47" s="467">
        <f t="shared" si="36"/>
        <v>0</v>
      </c>
      <c r="O47" s="467" t="e">
        <f t="shared" si="36"/>
        <v>#REF!</v>
      </c>
      <c r="P47" s="467">
        <f t="shared" si="36"/>
        <v>1707.4289930589962</v>
      </c>
      <c r="Q47" s="467">
        <f t="shared" si="36"/>
        <v>0</v>
      </c>
      <c r="R47" s="467">
        <f t="shared" si="36"/>
        <v>1707.4289930589962</v>
      </c>
      <c r="S47" s="467">
        <f t="shared" si="36"/>
        <v>0</v>
      </c>
      <c r="T47" s="467">
        <f t="shared" si="36"/>
        <v>0</v>
      </c>
      <c r="U47" s="467">
        <f t="shared" si="36"/>
        <v>0</v>
      </c>
      <c r="V47" s="467"/>
      <c r="W47" s="467"/>
      <c r="X47" s="468"/>
      <c r="Y47" s="467"/>
      <c r="Z47" s="467"/>
      <c r="AA47" s="468"/>
      <c r="AB47" s="467"/>
      <c r="AC47" s="467"/>
      <c r="AD47" s="468"/>
      <c r="AE47" s="467"/>
      <c r="AF47" s="467"/>
      <c r="AG47" s="468"/>
      <c r="AH47" s="467"/>
      <c r="AI47" s="467"/>
      <c r="AJ47" s="468"/>
      <c r="AK47" s="467"/>
      <c r="AL47" s="467"/>
      <c r="AM47" s="468"/>
      <c r="AN47" s="467"/>
      <c r="AO47" s="467"/>
      <c r="AP47" s="468"/>
      <c r="AQ47" s="470" t="e">
        <f t="shared" ref="AQ47:AQ49" si="37">F47+I47+L47+O47+R47+U47</f>
        <v>#REF!</v>
      </c>
      <c r="AR47" s="470" t="e">
        <f t="shared" ref="AR47:AR49" si="38">C47-AQ47</f>
        <v>#REF!</v>
      </c>
      <c r="AS47" s="471" t="e">
        <f>AQ47/C47</f>
        <v>#REF!</v>
      </c>
    </row>
    <row r="48" spans="1:45" ht="15.75" customHeight="1">
      <c r="A48" s="474" t="s">
        <v>1128</v>
      </c>
      <c r="B48" s="475" t="s">
        <v>779</v>
      </c>
      <c r="C48" s="483">
        <v>0</v>
      </c>
      <c r="D48" s="477"/>
      <c r="E48" s="477"/>
      <c r="F48" s="462">
        <f t="shared" ref="F48:F51" si="39">D48+E48</f>
        <v>0</v>
      </c>
      <c r="G48" s="477"/>
      <c r="H48" s="477"/>
      <c r="I48" s="462">
        <f t="shared" ref="I48:I51" si="40">G48+H48</f>
        <v>0</v>
      </c>
      <c r="J48" s="477"/>
      <c r="K48" s="477"/>
      <c r="L48" s="462">
        <f t="shared" ref="L48:L51" si="41">J48+K48</f>
        <v>0</v>
      </c>
      <c r="M48" s="477"/>
      <c r="N48" s="477"/>
      <c r="O48" s="462">
        <f t="shared" ref="O48:O51" si="42">M48+N48</f>
        <v>0</v>
      </c>
      <c r="P48" s="477"/>
      <c r="Q48" s="477"/>
      <c r="R48" s="462">
        <f t="shared" ref="R48:R51" si="43">P48+Q48</f>
        <v>0</v>
      </c>
      <c r="S48" s="477"/>
      <c r="T48" s="477"/>
      <c r="U48" s="462">
        <f t="shared" ref="U48:U59" si="44">S48+T48</f>
        <v>0</v>
      </c>
      <c r="V48" s="477"/>
      <c r="W48" s="477"/>
      <c r="X48" s="469"/>
      <c r="Y48" s="477"/>
      <c r="Z48" s="477"/>
      <c r="AA48" s="469"/>
      <c r="AB48" s="477"/>
      <c r="AC48" s="477"/>
      <c r="AD48" s="469"/>
      <c r="AE48" s="477"/>
      <c r="AF48" s="477"/>
      <c r="AG48" s="469"/>
      <c r="AH48" s="477"/>
      <c r="AI48" s="477"/>
      <c r="AJ48" s="469"/>
      <c r="AK48" s="477"/>
      <c r="AL48" s="477"/>
      <c r="AM48" s="469"/>
      <c r="AN48" s="477"/>
      <c r="AO48" s="477"/>
      <c r="AP48" s="469"/>
      <c r="AQ48" s="470">
        <f t="shared" si="37"/>
        <v>0</v>
      </c>
      <c r="AR48" s="470">
        <f t="shared" si="38"/>
        <v>0</v>
      </c>
      <c r="AS48" s="471"/>
    </row>
    <row r="49" spans="1:45" ht="15.75" customHeight="1">
      <c r="A49" s="474" t="s">
        <v>1129</v>
      </c>
      <c r="B49" s="475" t="s">
        <v>796</v>
      </c>
      <c r="C49" s="476">
        <v>2400</v>
      </c>
      <c r="D49" s="477"/>
      <c r="E49" s="477"/>
      <c r="F49" s="462">
        <f t="shared" si="39"/>
        <v>0</v>
      </c>
      <c r="G49" s="477"/>
      <c r="H49" s="477"/>
      <c r="I49" s="462">
        <f t="shared" si="40"/>
        <v>0</v>
      </c>
      <c r="J49" s="477"/>
      <c r="K49" s="477"/>
      <c r="L49" s="462">
        <f t="shared" si="41"/>
        <v>0</v>
      </c>
      <c r="M49" s="477"/>
      <c r="N49" s="477"/>
      <c r="O49" s="462">
        <f t="shared" si="42"/>
        <v>0</v>
      </c>
      <c r="P49" s="477"/>
      <c r="Q49" s="477"/>
      <c r="R49" s="462">
        <f t="shared" si="43"/>
        <v>0</v>
      </c>
      <c r="S49" s="477"/>
      <c r="T49" s="477"/>
      <c r="U49" s="462">
        <f t="shared" si="44"/>
        <v>0</v>
      </c>
      <c r="V49" s="477"/>
      <c r="W49" s="477"/>
      <c r="X49" s="469"/>
      <c r="Y49" s="477"/>
      <c r="Z49" s="477"/>
      <c r="AA49" s="469"/>
      <c r="AB49" s="477"/>
      <c r="AC49" s="477"/>
      <c r="AD49" s="469"/>
      <c r="AE49" s="477"/>
      <c r="AF49" s="477"/>
      <c r="AG49" s="469"/>
      <c r="AH49" s="477"/>
      <c r="AI49" s="477"/>
      <c r="AJ49" s="469"/>
      <c r="AK49" s="477"/>
      <c r="AL49" s="477"/>
      <c r="AM49" s="469"/>
      <c r="AN49" s="477"/>
      <c r="AO49" s="477"/>
      <c r="AP49" s="469"/>
      <c r="AQ49" s="470">
        <f t="shared" si="37"/>
        <v>0</v>
      </c>
      <c r="AR49" s="470">
        <f t="shared" si="38"/>
        <v>2400</v>
      </c>
      <c r="AS49" s="471">
        <f>AQ49/C49</f>
        <v>0</v>
      </c>
    </row>
    <row r="50" spans="1:45" ht="15.75" customHeight="1">
      <c r="A50" s="474" t="s">
        <v>1130</v>
      </c>
      <c r="B50" s="475" t="s">
        <v>796</v>
      </c>
      <c r="C50" s="476">
        <v>0</v>
      </c>
      <c r="D50" s="477"/>
      <c r="E50" s="477"/>
      <c r="F50" s="462">
        <f t="shared" si="39"/>
        <v>0</v>
      </c>
      <c r="G50" s="477"/>
      <c r="H50" s="477"/>
      <c r="I50" s="462">
        <f t="shared" si="40"/>
        <v>0</v>
      </c>
      <c r="J50" s="477"/>
      <c r="K50" s="477"/>
      <c r="L50" s="462">
        <f t="shared" si="41"/>
        <v>0</v>
      </c>
      <c r="M50" s="477"/>
      <c r="N50" s="477"/>
      <c r="O50" s="462">
        <f t="shared" si="42"/>
        <v>0</v>
      </c>
      <c r="P50" s="477"/>
      <c r="Q50" s="477"/>
      <c r="R50" s="462">
        <f t="shared" si="43"/>
        <v>0</v>
      </c>
      <c r="S50" s="477"/>
      <c r="T50" s="477"/>
      <c r="U50" s="462">
        <f t="shared" si="44"/>
        <v>0</v>
      </c>
      <c r="V50" s="477"/>
      <c r="W50" s="477"/>
      <c r="X50" s="469"/>
      <c r="Y50" s="477"/>
      <c r="Z50" s="477"/>
      <c r="AA50" s="469"/>
      <c r="AB50" s="477"/>
      <c r="AC50" s="477"/>
      <c r="AD50" s="469"/>
      <c r="AE50" s="477"/>
      <c r="AF50" s="477"/>
      <c r="AG50" s="469"/>
      <c r="AH50" s="477"/>
      <c r="AI50" s="477"/>
      <c r="AJ50" s="469"/>
      <c r="AK50" s="477"/>
      <c r="AL50" s="477"/>
      <c r="AM50" s="469"/>
      <c r="AN50" s="477"/>
      <c r="AO50" s="477"/>
      <c r="AP50" s="469"/>
      <c r="AQ50" s="470"/>
      <c r="AR50" s="470"/>
      <c r="AS50" s="471"/>
    </row>
    <row r="51" spans="1:45" ht="15.75" customHeight="1">
      <c r="A51" s="474" t="s">
        <v>1131</v>
      </c>
      <c r="B51" s="475" t="s">
        <v>796</v>
      </c>
      <c r="C51" s="476">
        <v>2400</v>
      </c>
      <c r="D51" s="477"/>
      <c r="E51" s="477"/>
      <c r="F51" s="462">
        <f t="shared" si="39"/>
        <v>0</v>
      </c>
      <c r="G51" s="477"/>
      <c r="H51" s="477"/>
      <c r="I51" s="462">
        <f t="shared" si="40"/>
        <v>0</v>
      </c>
      <c r="J51" s="477" t="e">
        <f>'Bank XOF'!#REF!/655.957</f>
        <v>#REF!</v>
      </c>
      <c r="K51" s="477"/>
      <c r="L51" s="462" t="e">
        <f t="shared" si="41"/>
        <v>#REF!</v>
      </c>
      <c r="M51" s="477" t="e">
        <f>'Bank XOF'!#REF!/655.957</f>
        <v>#REF!</v>
      </c>
      <c r="N51" s="477"/>
      <c r="O51" s="462" t="e">
        <f t="shared" si="42"/>
        <v>#REF!</v>
      </c>
      <c r="P51" s="477"/>
      <c r="Q51" s="477"/>
      <c r="R51" s="462">
        <f t="shared" si="43"/>
        <v>0</v>
      </c>
      <c r="S51" s="477"/>
      <c r="T51" s="477"/>
      <c r="U51" s="462">
        <f t="shared" si="44"/>
        <v>0</v>
      </c>
      <c r="V51" s="477"/>
      <c r="W51" s="477"/>
      <c r="X51" s="469"/>
      <c r="Y51" s="477"/>
      <c r="Z51" s="477"/>
      <c r="AA51" s="469"/>
      <c r="AB51" s="477"/>
      <c r="AC51" s="477"/>
      <c r="AD51" s="469"/>
      <c r="AE51" s="477"/>
      <c r="AF51" s="477"/>
      <c r="AG51" s="469"/>
      <c r="AH51" s="477"/>
      <c r="AI51" s="477"/>
      <c r="AJ51" s="469"/>
      <c r="AK51" s="477"/>
      <c r="AL51" s="477"/>
      <c r="AM51" s="469"/>
      <c r="AN51" s="477"/>
      <c r="AO51" s="477"/>
      <c r="AP51" s="469"/>
      <c r="AQ51" s="486" t="e">
        <f t="shared" ref="AQ51:AQ60" si="45">F51+I51+L51+O51+R51+U51</f>
        <v>#REF!</v>
      </c>
      <c r="AR51" s="486" t="e">
        <f t="shared" ref="AR51:AR60" si="46">C51-AQ51</f>
        <v>#REF!</v>
      </c>
      <c r="AS51" s="487" t="e">
        <f t="shared" ref="AS51:AS60" si="47">AQ51/C51</f>
        <v>#REF!</v>
      </c>
    </row>
    <row r="52" spans="1:45" ht="15.75" hidden="1" customHeight="1">
      <c r="A52" s="474"/>
      <c r="B52" s="475"/>
      <c r="C52" s="476"/>
      <c r="D52" s="477"/>
      <c r="E52" s="477"/>
      <c r="F52" s="462"/>
      <c r="G52" s="477"/>
      <c r="H52" s="477"/>
      <c r="I52" s="462"/>
      <c r="J52" s="477"/>
      <c r="K52" s="477"/>
      <c r="L52" s="462"/>
      <c r="M52" s="477"/>
      <c r="N52" s="477"/>
      <c r="O52" s="462"/>
      <c r="P52" s="477"/>
      <c r="Q52" s="477"/>
      <c r="R52" s="462"/>
      <c r="S52" s="477"/>
      <c r="T52" s="477"/>
      <c r="U52" s="462">
        <f t="shared" si="44"/>
        <v>0</v>
      </c>
      <c r="V52" s="477"/>
      <c r="W52" s="477"/>
      <c r="X52" s="469"/>
      <c r="Y52" s="477"/>
      <c r="Z52" s="477"/>
      <c r="AA52" s="469"/>
      <c r="AB52" s="477"/>
      <c r="AC52" s="477"/>
      <c r="AD52" s="469"/>
      <c r="AE52" s="477"/>
      <c r="AF52" s="477"/>
      <c r="AG52" s="469"/>
      <c r="AH52" s="477"/>
      <c r="AI52" s="477"/>
      <c r="AJ52" s="469"/>
      <c r="AK52" s="477"/>
      <c r="AL52" s="477"/>
      <c r="AM52" s="469"/>
      <c r="AN52" s="477"/>
      <c r="AO52" s="477"/>
      <c r="AP52" s="469"/>
      <c r="AQ52" s="470">
        <f t="shared" si="45"/>
        <v>0</v>
      </c>
      <c r="AR52" s="470">
        <f t="shared" si="46"/>
        <v>0</v>
      </c>
      <c r="AS52" s="471" t="e">
        <f t="shared" si="47"/>
        <v>#DIV/0!</v>
      </c>
    </row>
    <row r="53" spans="1:45" ht="15.75" customHeight="1">
      <c r="A53" s="474" t="s">
        <v>1133</v>
      </c>
      <c r="B53" s="475" t="s">
        <v>796</v>
      </c>
      <c r="C53" s="476">
        <v>24000</v>
      </c>
      <c r="D53" s="477"/>
      <c r="E53" s="477"/>
      <c r="F53" s="462">
        <f t="shared" ref="F53:F59" si="48">D53+E53</f>
        <v>0</v>
      </c>
      <c r="G53" s="477"/>
      <c r="H53" s="477"/>
      <c r="I53" s="462">
        <f t="shared" ref="I53:I59" si="49">G53+H53</f>
        <v>0</v>
      </c>
      <c r="J53" s="477"/>
      <c r="K53" s="477"/>
      <c r="L53" s="462">
        <f t="shared" ref="L53:L59" si="50">J53+K53</f>
        <v>0</v>
      </c>
      <c r="M53" s="477"/>
      <c r="N53" s="477"/>
      <c r="O53" s="462">
        <f t="shared" ref="O53:O59" si="51">M53+N53</f>
        <v>0</v>
      </c>
      <c r="P53" s="477"/>
      <c r="Q53" s="477"/>
      <c r="R53" s="462">
        <f t="shared" ref="R53:R59" si="52">P53+Q53</f>
        <v>0</v>
      </c>
      <c r="S53" s="477"/>
      <c r="T53" s="477"/>
      <c r="U53" s="462">
        <f t="shared" si="44"/>
        <v>0</v>
      </c>
      <c r="V53" s="477"/>
      <c r="W53" s="477"/>
      <c r="X53" s="469"/>
      <c r="Y53" s="477"/>
      <c r="Z53" s="477"/>
      <c r="AA53" s="469"/>
      <c r="AB53" s="477"/>
      <c r="AC53" s="477"/>
      <c r="AD53" s="469"/>
      <c r="AE53" s="477"/>
      <c r="AF53" s="477"/>
      <c r="AG53" s="469"/>
      <c r="AH53" s="477"/>
      <c r="AI53" s="477"/>
      <c r="AJ53" s="469"/>
      <c r="AK53" s="477"/>
      <c r="AL53" s="477"/>
      <c r="AM53" s="469"/>
      <c r="AN53" s="477"/>
      <c r="AO53" s="477"/>
      <c r="AP53" s="469"/>
      <c r="AQ53" s="470">
        <f t="shared" si="45"/>
        <v>0</v>
      </c>
      <c r="AR53" s="470">
        <f t="shared" si="46"/>
        <v>24000</v>
      </c>
      <c r="AS53" s="471">
        <f t="shared" si="47"/>
        <v>0</v>
      </c>
    </row>
    <row r="54" spans="1:45" ht="15.75" hidden="1" customHeight="1">
      <c r="A54" s="474" t="s">
        <v>1134</v>
      </c>
      <c r="B54" s="475" t="s">
        <v>796</v>
      </c>
      <c r="C54" s="476">
        <v>0</v>
      </c>
      <c r="D54" s="477"/>
      <c r="E54" s="477"/>
      <c r="F54" s="462">
        <f t="shared" si="48"/>
        <v>0</v>
      </c>
      <c r="G54" s="477"/>
      <c r="H54" s="477"/>
      <c r="I54" s="462">
        <f t="shared" si="49"/>
        <v>0</v>
      </c>
      <c r="J54" s="477"/>
      <c r="K54" s="477"/>
      <c r="L54" s="462">
        <f t="shared" si="50"/>
        <v>0</v>
      </c>
      <c r="M54" s="477"/>
      <c r="N54" s="477"/>
      <c r="O54" s="462">
        <f t="shared" si="51"/>
        <v>0</v>
      </c>
      <c r="P54" s="477"/>
      <c r="Q54" s="477"/>
      <c r="R54" s="462">
        <f t="shared" si="52"/>
        <v>0</v>
      </c>
      <c r="S54" s="477"/>
      <c r="T54" s="477"/>
      <c r="U54" s="462">
        <f t="shared" si="44"/>
        <v>0</v>
      </c>
      <c r="V54" s="477"/>
      <c r="W54" s="477"/>
      <c r="X54" s="469"/>
      <c r="Y54" s="477"/>
      <c r="Z54" s="477"/>
      <c r="AA54" s="469"/>
      <c r="AB54" s="477"/>
      <c r="AC54" s="477"/>
      <c r="AD54" s="469"/>
      <c r="AE54" s="477"/>
      <c r="AF54" s="477"/>
      <c r="AG54" s="469"/>
      <c r="AH54" s="477"/>
      <c r="AI54" s="477"/>
      <c r="AJ54" s="469"/>
      <c r="AK54" s="477"/>
      <c r="AL54" s="477"/>
      <c r="AM54" s="469"/>
      <c r="AN54" s="477"/>
      <c r="AO54" s="477"/>
      <c r="AP54" s="469"/>
      <c r="AQ54" s="470">
        <f t="shared" si="45"/>
        <v>0</v>
      </c>
      <c r="AR54" s="470">
        <f t="shared" si="46"/>
        <v>0</v>
      </c>
      <c r="AS54" s="471" t="e">
        <f t="shared" si="47"/>
        <v>#DIV/0!</v>
      </c>
    </row>
    <row r="55" spans="1:45" ht="15.75" hidden="1" customHeight="1">
      <c r="A55" s="474" t="s">
        <v>1141</v>
      </c>
      <c r="B55" s="475" t="s">
        <v>796</v>
      </c>
      <c r="C55" s="476">
        <v>0</v>
      </c>
      <c r="D55" s="477"/>
      <c r="E55" s="477"/>
      <c r="F55" s="462">
        <f t="shared" si="48"/>
        <v>0</v>
      </c>
      <c r="G55" s="477"/>
      <c r="H55" s="477"/>
      <c r="I55" s="462">
        <f t="shared" si="49"/>
        <v>0</v>
      </c>
      <c r="J55" s="477"/>
      <c r="K55" s="477"/>
      <c r="L55" s="462">
        <f t="shared" si="50"/>
        <v>0</v>
      </c>
      <c r="M55" s="477"/>
      <c r="N55" s="477"/>
      <c r="O55" s="462">
        <f t="shared" si="51"/>
        <v>0</v>
      </c>
      <c r="P55" s="477"/>
      <c r="Q55" s="477"/>
      <c r="R55" s="462">
        <f t="shared" si="52"/>
        <v>0</v>
      </c>
      <c r="S55" s="477"/>
      <c r="T55" s="477"/>
      <c r="U55" s="462">
        <f t="shared" si="44"/>
        <v>0</v>
      </c>
      <c r="V55" s="477"/>
      <c r="W55" s="477"/>
      <c r="X55" s="469"/>
      <c r="Y55" s="477"/>
      <c r="Z55" s="477"/>
      <c r="AA55" s="469"/>
      <c r="AB55" s="477"/>
      <c r="AC55" s="477"/>
      <c r="AD55" s="469"/>
      <c r="AE55" s="477"/>
      <c r="AF55" s="477"/>
      <c r="AG55" s="469"/>
      <c r="AH55" s="477"/>
      <c r="AI55" s="477"/>
      <c r="AJ55" s="469"/>
      <c r="AK55" s="477"/>
      <c r="AL55" s="477"/>
      <c r="AM55" s="469"/>
      <c r="AN55" s="477"/>
      <c r="AO55" s="477"/>
      <c r="AP55" s="469"/>
      <c r="AQ55" s="470">
        <f t="shared" si="45"/>
        <v>0</v>
      </c>
      <c r="AR55" s="470">
        <f t="shared" si="46"/>
        <v>0</v>
      </c>
      <c r="AS55" s="471" t="e">
        <f t="shared" si="47"/>
        <v>#DIV/0!</v>
      </c>
    </row>
    <row r="56" spans="1:45" ht="15.75" hidden="1" customHeight="1">
      <c r="A56" s="474" t="s">
        <v>1136</v>
      </c>
      <c r="B56" s="475" t="s">
        <v>796</v>
      </c>
      <c r="C56" s="476">
        <v>0</v>
      </c>
      <c r="D56" s="477"/>
      <c r="E56" s="477"/>
      <c r="F56" s="462">
        <f t="shared" si="48"/>
        <v>0</v>
      </c>
      <c r="G56" s="477"/>
      <c r="H56" s="477"/>
      <c r="I56" s="462">
        <f t="shared" si="49"/>
        <v>0</v>
      </c>
      <c r="J56" s="477"/>
      <c r="K56" s="477"/>
      <c r="L56" s="462">
        <f t="shared" si="50"/>
        <v>0</v>
      </c>
      <c r="M56" s="477"/>
      <c r="N56" s="477"/>
      <c r="O56" s="462">
        <f t="shared" si="51"/>
        <v>0</v>
      </c>
      <c r="P56" s="477"/>
      <c r="Q56" s="477"/>
      <c r="R56" s="462">
        <f t="shared" si="52"/>
        <v>0</v>
      </c>
      <c r="S56" s="477"/>
      <c r="T56" s="477"/>
      <c r="U56" s="462">
        <f t="shared" si="44"/>
        <v>0</v>
      </c>
      <c r="V56" s="477"/>
      <c r="W56" s="477"/>
      <c r="X56" s="469"/>
      <c r="Y56" s="477"/>
      <c r="Z56" s="477"/>
      <c r="AA56" s="469"/>
      <c r="AB56" s="477"/>
      <c r="AC56" s="477"/>
      <c r="AD56" s="469"/>
      <c r="AE56" s="477"/>
      <c r="AF56" s="477"/>
      <c r="AG56" s="469"/>
      <c r="AH56" s="477"/>
      <c r="AI56" s="477"/>
      <c r="AJ56" s="469"/>
      <c r="AK56" s="477"/>
      <c r="AL56" s="477"/>
      <c r="AM56" s="469"/>
      <c r="AN56" s="477"/>
      <c r="AO56" s="477"/>
      <c r="AP56" s="469"/>
      <c r="AQ56" s="470">
        <f t="shared" si="45"/>
        <v>0</v>
      </c>
      <c r="AR56" s="470">
        <f t="shared" si="46"/>
        <v>0</v>
      </c>
      <c r="AS56" s="471" t="e">
        <f t="shared" si="47"/>
        <v>#DIV/0!</v>
      </c>
    </row>
    <row r="57" spans="1:45" ht="15.75" hidden="1" customHeight="1">
      <c r="A57" s="474" t="s">
        <v>1137</v>
      </c>
      <c r="B57" s="475" t="s">
        <v>796</v>
      </c>
      <c r="C57" s="476">
        <v>0</v>
      </c>
      <c r="D57" s="477"/>
      <c r="E57" s="477"/>
      <c r="F57" s="462">
        <f t="shared" si="48"/>
        <v>0</v>
      </c>
      <c r="G57" s="477"/>
      <c r="H57" s="477"/>
      <c r="I57" s="462">
        <f t="shared" si="49"/>
        <v>0</v>
      </c>
      <c r="J57" s="477"/>
      <c r="K57" s="477"/>
      <c r="L57" s="462">
        <f t="shared" si="50"/>
        <v>0</v>
      </c>
      <c r="M57" s="477"/>
      <c r="N57" s="477"/>
      <c r="O57" s="462">
        <f t="shared" si="51"/>
        <v>0</v>
      </c>
      <c r="P57" s="477"/>
      <c r="Q57" s="477"/>
      <c r="R57" s="462">
        <f t="shared" si="52"/>
        <v>0</v>
      </c>
      <c r="S57" s="477"/>
      <c r="T57" s="477"/>
      <c r="U57" s="462">
        <f t="shared" si="44"/>
        <v>0</v>
      </c>
      <c r="V57" s="477"/>
      <c r="W57" s="477"/>
      <c r="X57" s="469"/>
      <c r="Y57" s="477"/>
      <c r="Z57" s="477"/>
      <c r="AA57" s="469"/>
      <c r="AB57" s="477"/>
      <c r="AC57" s="477"/>
      <c r="AD57" s="469"/>
      <c r="AE57" s="477"/>
      <c r="AF57" s="477"/>
      <c r="AG57" s="469"/>
      <c r="AH57" s="477"/>
      <c r="AI57" s="477"/>
      <c r="AJ57" s="469"/>
      <c r="AK57" s="477"/>
      <c r="AL57" s="477"/>
      <c r="AM57" s="469"/>
      <c r="AN57" s="477"/>
      <c r="AO57" s="477"/>
      <c r="AP57" s="469"/>
      <c r="AQ57" s="470">
        <f t="shared" si="45"/>
        <v>0</v>
      </c>
      <c r="AR57" s="470">
        <f t="shared" si="46"/>
        <v>0</v>
      </c>
      <c r="AS57" s="471" t="e">
        <f t="shared" si="47"/>
        <v>#DIV/0!</v>
      </c>
    </row>
    <row r="58" spans="1:45" ht="15.75" hidden="1" customHeight="1">
      <c r="A58" s="474" t="s">
        <v>1124</v>
      </c>
      <c r="B58" s="475" t="s">
        <v>796</v>
      </c>
      <c r="C58" s="476">
        <v>0</v>
      </c>
      <c r="D58" s="477"/>
      <c r="E58" s="477"/>
      <c r="F58" s="462">
        <f t="shared" si="48"/>
        <v>0</v>
      </c>
      <c r="G58" s="477"/>
      <c r="H58" s="477"/>
      <c r="I58" s="462">
        <f t="shared" si="49"/>
        <v>0</v>
      </c>
      <c r="J58" s="477"/>
      <c r="K58" s="477"/>
      <c r="L58" s="462">
        <f t="shared" si="50"/>
        <v>0</v>
      </c>
      <c r="M58" s="477"/>
      <c r="N58" s="477"/>
      <c r="O58" s="462">
        <f t="shared" si="51"/>
        <v>0</v>
      </c>
      <c r="P58" s="477"/>
      <c r="Q58" s="477"/>
      <c r="R58" s="462">
        <f t="shared" si="52"/>
        <v>0</v>
      </c>
      <c r="S58" s="477"/>
      <c r="T58" s="477"/>
      <c r="U58" s="462">
        <f t="shared" si="44"/>
        <v>0</v>
      </c>
      <c r="V58" s="477"/>
      <c r="W58" s="477"/>
      <c r="X58" s="469"/>
      <c r="Y58" s="477"/>
      <c r="Z58" s="477"/>
      <c r="AA58" s="469"/>
      <c r="AB58" s="477"/>
      <c r="AC58" s="477"/>
      <c r="AD58" s="469"/>
      <c r="AE58" s="477"/>
      <c r="AF58" s="477"/>
      <c r="AG58" s="469"/>
      <c r="AH58" s="477"/>
      <c r="AI58" s="477"/>
      <c r="AJ58" s="469"/>
      <c r="AK58" s="477"/>
      <c r="AL58" s="477"/>
      <c r="AM58" s="469"/>
      <c r="AN58" s="477"/>
      <c r="AO58" s="477"/>
      <c r="AP58" s="469"/>
      <c r="AQ58" s="470">
        <f t="shared" si="45"/>
        <v>0</v>
      </c>
      <c r="AR58" s="470">
        <f t="shared" si="46"/>
        <v>0</v>
      </c>
      <c r="AS58" s="471" t="e">
        <f t="shared" si="47"/>
        <v>#DIV/0!</v>
      </c>
    </row>
    <row r="59" spans="1:45" ht="15.75" customHeight="1">
      <c r="A59" s="474" t="s">
        <v>1139</v>
      </c>
      <c r="B59" s="475" t="s">
        <v>796</v>
      </c>
      <c r="C59" s="476">
        <v>21600</v>
      </c>
      <c r="D59" s="477" t="e">
        <f>'Bank CFA2014'!#REF!</f>
        <v>#REF!</v>
      </c>
      <c r="E59" s="477"/>
      <c r="F59" s="462" t="e">
        <f t="shared" si="48"/>
        <v>#REF!</v>
      </c>
      <c r="G59" s="477"/>
      <c r="H59" s="477"/>
      <c r="I59" s="462">
        <f t="shared" si="49"/>
        <v>0</v>
      </c>
      <c r="J59" s="477"/>
      <c r="K59" s="477"/>
      <c r="L59" s="462">
        <f t="shared" si="50"/>
        <v>0</v>
      </c>
      <c r="M59" s="477"/>
      <c r="N59" s="477"/>
      <c r="O59" s="462">
        <f t="shared" si="51"/>
        <v>0</v>
      </c>
      <c r="P59" s="477">
        <f>1120000/655.957</f>
        <v>1707.4289930589962</v>
      </c>
      <c r="Q59" s="477"/>
      <c r="R59" s="462">
        <f t="shared" si="52"/>
        <v>1707.4289930589962</v>
      </c>
      <c r="S59" s="477"/>
      <c r="T59" s="477"/>
      <c r="U59" s="462">
        <f t="shared" si="44"/>
        <v>0</v>
      </c>
      <c r="V59" s="477"/>
      <c r="W59" s="477"/>
      <c r="X59" s="469"/>
      <c r="Y59" s="477"/>
      <c r="Z59" s="477"/>
      <c r="AA59" s="469"/>
      <c r="AB59" s="477"/>
      <c r="AC59" s="477"/>
      <c r="AD59" s="469"/>
      <c r="AE59" s="477"/>
      <c r="AF59" s="477"/>
      <c r="AG59" s="469"/>
      <c r="AH59" s="477"/>
      <c r="AI59" s="477"/>
      <c r="AJ59" s="469"/>
      <c r="AK59" s="477"/>
      <c r="AL59" s="477"/>
      <c r="AM59" s="469"/>
      <c r="AN59" s="477"/>
      <c r="AO59" s="477"/>
      <c r="AP59" s="469"/>
      <c r="AQ59" s="470" t="e">
        <f t="shared" si="45"/>
        <v>#REF!</v>
      </c>
      <c r="AR59" s="470" t="e">
        <f t="shared" si="46"/>
        <v>#REF!</v>
      </c>
      <c r="AS59" s="471" t="e">
        <f t="shared" si="47"/>
        <v>#REF!</v>
      </c>
    </row>
    <row r="60" spans="1:45" ht="15.75" hidden="1" customHeight="1">
      <c r="A60" s="474"/>
      <c r="B60" s="475"/>
      <c r="C60" s="476"/>
      <c r="D60" s="477"/>
      <c r="E60" s="477"/>
      <c r="F60" s="462"/>
      <c r="G60" s="477"/>
      <c r="H60" s="477"/>
      <c r="I60" s="462"/>
      <c r="J60" s="477"/>
      <c r="K60" s="477"/>
      <c r="L60" s="462"/>
      <c r="M60" s="477"/>
      <c r="N60" s="477"/>
      <c r="O60" s="462"/>
      <c r="P60" s="477"/>
      <c r="Q60" s="477"/>
      <c r="R60" s="462"/>
      <c r="S60" s="477"/>
      <c r="T60" s="477"/>
      <c r="U60" s="462"/>
      <c r="V60" s="477"/>
      <c r="W60" s="477"/>
      <c r="X60" s="469"/>
      <c r="Y60" s="477"/>
      <c r="Z60" s="477"/>
      <c r="AA60" s="469"/>
      <c r="AB60" s="477"/>
      <c r="AC60" s="477"/>
      <c r="AD60" s="469"/>
      <c r="AE60" s="477"/>
      <c r="AF60" s="477"/>
      <c r="AG60" s="469"/>
      <c r="AH60" s="477"/>
      <c r="AI60" s="477"/>
      <c r="AJ60" s="469"/>
      <c r="AK60" s="477"/>
      <c r="AL60" s="477"/>
      <c r="AM60" s="469"/>
      <c r="AN60" s="477"/>
      <c r="AO60" s="477"/>
      <c r="AP60" s="469"/>
      <c r="AQ60" s="470">
        <f t="shared" si="45"/>
        <v>0</v>
      </c>
      <c r="AR60" s="470">
        <f t="shared" si="46"/>
        <v>0</v>
      </c>
      <c r="AS60" s="471" t="e">
        <f t="shared" si="47"/>
        <v>#DIV/0!</v>
      </c>
    </row>
    <row r="61" spans="1:45" ht="15.75" customHeight="1">
      <c r="A61" s="464" t="s">
        <v>1142</v>
      </c>
      <c r="B61" s="465" t="s">
        <v>745</v>
      </c>
      <c r="C61" s="466">
        <v>0</v>
      </c>
      <c r="D61" s="467"/>
      <c r="E61" s="467"/>
      <c r="F61" s="461"/>
      <c r="G61" s="467"/>
      <c r="H61" s="467"/>
      <c r="I61" s="461"/>
      <c r="J61" s="467"/>
      <c r="K61" s="467"/>
      <c r="L61" s="462"/>
      <c r="M61" s="467"/>
      <c r="N61" s="467"/>
      <c r="O61" s="462"/>
      <c r="P61" s="467"/>
      <c r="Q61" s="467"/>
      <c r="R61" s="462"/>
      <c r="S61" s="467"/>
      <c r="T61" s="467"/>
      <c r="U61" s="462"/>
      <c r="V61" s="467"/>
      <c r="W61" s="467"/>
      <c r="X61" s="468"/>
      <c r="Y61" s="467"/>
      <c r="Z61" s="467"/>
      <c r="AA61" s="469"/>
      <c r="AB61" s="467"/>
      <c r="AC61" s="467"/>
      <c r="AD61" s="469"/>
      <c r="AE61" s="467"/>
      <c r="AF61" s="467"/>
      <c r="AG61" s="469"/>
      <c r="AH61" s="467"/>
      <c r="AI61" s="467"/>
      <c r="AJ61" s="469"/>
      <c r="AK61" s="467"/>
      <c r="AL61" s="467"/>
      <c r="AM61" s="469"/>
      <c r="AN61" s="467"/>
      <c r="AO61" s="467"/>
      <c r="AP61" s="469"/>
      <c r="AQ61" s="470"/>
      <c r="AR61" s="470"/>
      <c r="AS61" s="471"/>
    </row>
    <row r="62" spans="1:45" ht="15.75" customHeight="1">
      <c r="A62" s="488" t="s">
        <v>816</v>
      </c>
      <c r="B62" s="489"/>
      <c r="C62" s="490">
        <f t="shared" ref="C62:U62" si="53">C47+C61</f>
        <v>50400</v>
      </c>
      <c r="D62" s="491" t="e">
        <f t="shared" si="53"/>
        <v>#REF!</v>
      </c>
      <c r="E62" s="491">
        <f t="shared" si="53"/>
        <v>0</v>
      </c>
      <c r="F62" s="491" t="e">
        <f t="shared" si="53"/>
        <v>#REF!</v>
      </c>
      <c r="G62" s="491">
        <f t="shared" si="53"/>
        <v>0</v>
      </c>
      <c r="H62" s="491">
        <f t="shared" si="53"/>
        <v>0</v>
      </c>
      <c r="I62" s="491">
        <f t="shared" si="53"/>
        <v>0</v>
      </c>
      <c r="J62" s="491" t="e">
        <f t="shared" si="53"/>
        <v>#REF!</v>
      </c>
      <c r="K62" s="491">
        <f t="shared" si="53"/>
        <v>0</v>
      </c>
      <c r="L62" s="491" t="e">
        <f t="shared" si="53"/>
        <v>#REF!</v>
      </c>
      <c r="M62" s="491" t="e">
        <f t="shared" si="53"/>
        <v>#REF!</v>
      </c>
      <c r="N62" s="491">
        <f t="shared" si="53"/>
        <v>0</v>
      </c>
      <c r="O62" s="491" t="e">
        <f t="shared" si="53"/>
        <v>#REF!</v>
      </c>
      <c r="P62" s="491">
        <f t="shared" si="53"/>
        <v>1707.4289930589962</v>
      </c>
      <c r="Q62" s="491">
        <f t="shared" si="53"/>
        <v>0</v>
      </c>
      <c r="R62" s="491">
        <f t="shared" si="53"/>
        <v>1707.4289930589962</v>
      </c>
      <c r="S62" s="491">
        <f t="shared" si="53"/>
        <v>0</v>
      </c>
      <c r="T62" s="491">
        <f t="shared" si="53"/>
        <v>0</v>
      </c>
      <c r="U62" s="491">
        <f t="shared" si="53"/>
        <v>0</v>
      </c>
      <c r="V62" s="491"/>
      <c r="W62" s="492"/>
      <c r="X62" s="493"/>
      <c r="Y62" s="491"/>
      <c r="Z62" s="492"/>
      <c r="AA62" s="493"/>
      <c r="AB62" s="491"/>
      <c r="AC62" s="492"/>
      <c r="AD62" s="493"/>
      <c r="AE62" s="491"/>
      <c r="AF62" s="492"/>
      <c r="AG62" s="493"/>
      <c r="AH62" s="491"/>
      <c r="AI62" s="492"/>
      <c r="AJ62" s="493"/>
      <c r="AK62" s="491"/>
      <c r="AL62" s="492"/>
      <c r="AM62" s="493"/>
      <c r="AN62" s="491"/>
      <c r="AO62" s="492"/>
      <c r="AP62" s="493"/>
      <c r="AQ62" s="494" t="e">
        <f>F62+I62+L62+O62+R62+U62</f>
        <v>#REF!</v>
      </c>
      <c r="AR62" s="494" t="e">
        <f>C62-AQ62</f>
        <v>#REF!</v>
      </c>
      <c r="AS62" s="495" t="e">
        <f>AQ62/C62</f>
        <v>#REF!</v>
      </c>
    </row>
    <row r="63" spans="1:45" ht="15.75" customHeight="1">
      <c r="A63" s="496" t="s">
        <v>1143</v>
      </c>
      <c r="B63" s="497"/>
      <c r="C63" s="466"/>
      <c r="D63" s="467"/>
      <c r="E63" s="467"/>
      <c r="F63" s="461"/>
      <c r="G63" s="467"/>
      <c r="H63" s="467"/>
      <c r="I63" s="461"/>
      <c r="J63" s="467"/>
      <c r="K63" s="467"/>
      <c r="L63" s="462"/>
      <c r="M63" s="467"/>
      <c r="N63" s="467"/>
      <c r="O63" s="462"/>
      <c r="P63" s="467"/>
      <c r="Q63" s="467"/>
      <c r="R63" s="462"/>
      <c r="S63" s="467"/>
      <c r="T63" s="467"/>
      <c r="U63" s="462"/>
      <c r="V63" s="467"/>
      <c r="W63" s="467"/>
      <c r="X63" s="468"/>
      <c r="Y63" s="467"/>
      <c r="Z63" s="467"/>
      <c r="AA63" s="469"/>
      <c r="AB63" s="467"/>
      <c r="AC63" s="467"/>
      <c r="AD63" s="469"/>
      <c r="AE63" s="467"/>
      <c r="AF63" s="467"/>
      <c r="AG63" s="469"/>
      <c r="AH63" s="467"/>
      <c r="AI63" s="467"/>
      <c r="AJ63" s="469"/>
      <c r="AK63" s="467"/>
      <c r="AL63" s="467"/>
      <c r="AM63" s="469"/>
      <c r="AN63" s="467"/>
      <c r="AO63" s="467"/>
      <c r="AP63" s="469"/>
      <c r="AQ63" s="470"/>
      <c r="AR63" s="470"/>
      <c r="AS63" s="471"/>
    </row>
    <row r="64" spans="1:45" ht="15.75" customHeight="1">
      <c r="A64" s="498" t="s">
        <v>1144</v>
      </c>
      <c r="B64" s="499" t="s">
        <v>818</v>
      </c>
      <c r="C64" s="466">
        <v>60000</v>
      </c>
      <c r="D64" s="467" t="e">
        <f>'Bank CFA2014'!#REF!</f>
        <v>#REF!</v>
      </c>
      <c r="E64" s="467"/>
      <c r="F64" s="500" t="e">
        <f>D64+E64</f>
        <v>#REF!</v>
      </c>
      <c r="G64" s="467"/>
      <c r="H64" s="467"/>
      <c r="I64" s="500">
        <f>G64+H64</f>
        <v>0</v>
      </c>
      <c r="J64" s="467"/>
      <c r="K64" s="467"/>
      <c r="L64" s="500">
        <f>J64+K64</f>
        <v>0</v>
      </c>
      <c r="M64" s="467"/>
      <c r="N64" s="467"/>
      <c r="O64" s="500">
        <f>M64+N64</f>
        <v>0</v>
      </c>
      <c r="P64" s="467"/>
      <c r="Q64" s="467"/>
      <c r="R64" s="500">
        <f>P64+Q64</f>
        <v>0</v>
      </c>
      <c r="S64" s="467"/>
      <c r="T64" s="467"/>
      <c r="U64" s="500">
        <f>S64+T64</f>
        <v>0</v>
      </c>
      <c r="V64" s="467"/>
      <c r="W64" s="467"/>
      <c r="X64" s="469"/>
      <c r="Y64" s="467"/>
      <c r="Z64" s="467"/>
      <c r="AA64" s="469"/>
      <c r="AB64" s="467"/>
      <c r="AC64" s="467"/>
      <c r="AD64" s="469"/>
      <c r="AE64" s="467"/>
      <c r="AF64" s="467"/>
      <c r="AG64" s="469"/>
      <c r="AH64" s="467"/>
      <c r="AI64" s="467"/>
      <c r="AJ64" s="469"/>
      <c r="AK64" s="467"/>
      <c r="AL64" s="467"/>
      <c r="AM64" s="469"/>
      <c r="AN64" s="467"/>
      <c r="AO64" s="467"/>
      <c r="AP64" s="469"/>
      <c r="AQ64" s="470" t="e">
        <f t="shared" ref="AQ64:AQ75" si="54">F64+I64+L64+O64+R64+U64</f>
        <v>#REF!</v>
      </c>
      <c r="AR64" s="470" t="e">
        <f t="shared" ref="AR64:AR75" si="55">C64-AQ64</f>
        <v>#REF!</v>
      </c>
      <c r="AS64" s="471" t="e">
        <f t="shared" ref="AS64:AS75" si="56">AQ64/C64</f>
        <v>#REF!</v>
      </c>
    </row>
    <row r="65" spans="1:45" ht="15.75" customHeight="1">
      <c r="A65" s="498" t="s">
        <v>819</v>
      </c>
      <c r="B65" s="499"/>
      <c r="C65" s="466">
        <f t="shared" ref="C65:U65" si="57">SUM(C66:C74)</f>
        <v>39500</v>
      </c>
      <c r="D65" s="467">
        <f t="shared" si="57"/>
        <v>0</v>
      </c>
      <c r="E65" s="467">
        <f t="shared" si="57"/>
        <v>0</v>
      </c>
      <c r="F65" s="467">
        <f t="shared" si="57"/>
        <v>0</v>
      </c>
      <c r="G65" s="467">
        <f t="shared" si="57"/>
        <v>0</v>
      </c>
      <c r="H65" s="467">
        <f t="shared" si="57"/>
        <v>0</v>
      </c>
      <c r="I65" s="467">
        <f t="shared" si="57"/>
        <v>0</v>
      </c>
      <c r="J65" s="467">
        <f t="shared" si="57"/>
        <v>0</v>
      </c>
      <c r="K65" s="467">
        <f t="shared" si="57"/>
        <v>0</v>
      </c>
      <c r="L65" s="467">
        <f t="shared" si="57"/>
        <v>0</v>
      </c>
      <c r="M65" s="467" t="e">
        <f t="shared" si="57"/>
        <v>#REF!</v>
      </c>
      <c r="N65" s="467">
        <f t="shared" si="57"/>
        <v>0</v>
      </c>
      <c r="O65" s="467" t="e">
        <f t="shared" si="57"/>
        <v>#REF!</v>
      </c>
      <c r="P65" s="467">
        <f t="shared" si="57"/>
        <v>0</v>
      </c>
      <c r="Q65" s="467">
        <f t="shared" si="57"/>
        <v>0</v>
      </c>
      <c r="R65" s="467">
        <f t="shared" si="57"/>
        <v>0</v>
      </c>
      <c r="S65" s="467">
        <f t="shared" si="57"/>
        <v>0</v>
      </c>
      <c r="T65" s="467">
        <f t="shared" si="57"/>
        <v>100</v>
      </c>
      <c r="U65" s="467">
        <f t="shared" si="57"/>
        <v>100</v>
      </c>
      <c r="V65" s="467"/>
      <c r="W65" s="467"/>
      <c r="X65" s="469"/>
      <c r="Y65" s="467"/>
      <c r="Z65" s="467"/>
      <c r="AA65" s="469"/>
      <c r="AB65" s="467"/>
      <c r="AC65" s="467"/>
      <c r="AD65" s="469"/>
      <c r="AE65" s="467"/>
      <c r="AF65" s="467"/>
      <c r="AG65" s="469"/>
      <c r="AH65" s="467"/>
      <c r="AI65" s="467"/>
      <c r="AJ65" s="469"/>
      <c r="AK65" s="467"/>
      <c r="AL65" s="467"/>
      <c r="AM65" s="469"/>
      <c r="AN65" s="467"/>
      <c r="AO65" s="467"/>
      <c r="AP65" s="469"/>
      <c r="AQ65" s="470" t="e">
        <f t="shared" si="54"/>
        <v>#REF!</v>
      </c>
      <c r="AR65" s="470" t="e">
        <f t="shared" si="55"/>
        <v>#REF!</v>
      </c>
      <c r="AS65" s="471" t="e">
        <f t="shared" si="56"/>
        <v>#REF!</v>
      </c>
    </row>
    <row r="66" spans="1:45" ht="15.75" customHeight="1">
      <c r="A66" s="474" t="s">
        <v>1145</v>
      </c>
      <c r="B66" s="475" t="s">
        <v>1146</v>
      </c>
      <c r="C66" s="476">
        <v>4000</v>
      </c>
      <c r="D66" s="477"/>
      <c r="E66" s="477"/>
      <c r="F66" s="462">
        <f t="shared" ref="F66:F74" si="58">D66+E66</f>
        <v>0</v>
      </c>
      <c r="G66" s="477"/>
      <c r="H66" s="477"/>
      <c r="I66" s="462">
        <f t="shared" ref="I66:I74" si="59">G66+H66</f>
        <v>0</v>
      </c>
      <c r="J66" s="477"/>
      <c r="K66" s="477"/>
      <c r="L66" s="462">
        <f t="shared" ref="L66:L74" si="60">J66+K66</f>
        <v>0</v>
      </c>
      <c r="M66" s="477"/>
      <c r="N66" s="477"/>
      <c r="O66" s="462">
        <f t="shared" ref="O66:O74" si="61">M66+N66</f>
        <v>0</v>
      </c>
      <c r="P66" s="477"/>
      <c r="Q66" s="477"/>
      <c r="R66" s="462">
        <f t="shared" ref="R66:R74" si="62">P66+Q66</f>
        <v>0</v>
      </c>
      <c r="S66" s="477"/>
      <c r="T66" s="477"/>
      <c r="U66" s="462">
        <f t="shared" ref="U66:U69" si="63">S66+T66</f>
        <v>0</v>
      </c>
      <c r="V66" s="477"/>
      <c r="W66" s="477"/>
      <c r="X66" s="469"/>
      <c r="Y66" s="477"/>
      <c r="Z66" s="477"/>
      <c r="AA66" s="469"/>
      <c r="AB66" s="477"/>
      <c r="AC66" s="477"/>
      <c r="AD66" s="469"/>
      <c r="AE66" s="477"/>
      <c r="AF66" s="477"/>
      <c r="AG66" s="469"/>
      <c r="AH66" s="477"/>
      <c r="AI66" s="477"/>
      <c r="AJ66" s="469"/>
      <c r="AK66" s="477"/>
      <c r="AL66" s="477"/>
      <c r="AM66" s="469"/>
      <c r="AN66" s="477"/>
      <c r="AO66" s="477"/>
      <c r="AP66" s="469"/>
      <c r="AQ66" s="470">
        <f t="shared" si="54"/>
        <v>0</v>
      </c>
      <c r="AR66" s="470">
        <f t="shared" si="55"/>
        <v>4000</v>
      </c>
      <c r="AS66" s="471">
        <f t="shared" si="56"/>
        <v>0</v>
      </c>
    </row>
    <row r="67" spans="1:45" ht="15.75" customHeight="1">
      <c r="A67" s="474" t="s">
        <v>1147</v>
      </c>
      <c r="B67" s="475" t="s">
        <v>1148</v>
      </c>
      <c r="C67" s="476">
        <v>10500</v>
      </c>
      <c r="D67" s="477"/>
      <c r="E67" s="477"/>
      <c r="F67" s="462">
        <f t="shared" si="58"/>
        <v>0</v>
      </c>
      <c r="G67" s="477"/>
      <c r="H67" s="477"/>
      <c r="I67" s="462">
        <f t="shared" si="59"/>
        <v>0</v>
      </c>
      <c r="J67" s="477"/>
      <c r="K67" s="477"/>
      <c r="L67" s="462">
        <f t="shared" si="60"/>
        <v>0</v>
      </c>
      <c r="M67" s="477" t="e">
        <f>'Bank XOF'!#REF!/655.957</f>
        <v>#REF!</v>
      </c>
      <c r="N67" s="477"/>
      <c r="O67" s="462" t="e">
        <f t="shared" si="61"/>
        <v>#REF!</v>
      </c>
      <c r="P67" s="477"/>
      <c r="Q67" s="477"/>
      <c r="R67" s="462">
        <f t="shared" si="62"/>
        <v>0</v>
      </c>
      <c r="S67" s="477"/>
      <c r="T67" s="477"/>
      <c r="U67" s="462">
        <f t="shared" si="63"/>
        <v>0</v>
      </c>
      <c r="V67" s="477"/>
      <c r="W67" s="477"/>
      <c r="X67" s="469"/>
      <c r="Y67" s="477"/>
      <c r="Z67" s="477"/>
      <c r="AA67" s="469"/>
      <c r="AB67" s="477"/>
      <c r="AC67" s="477"/>
      <c r="AD67" s="469"/>
      <c r="AE67" s="477"/>
      <c r="AF67" s="477"/>
      <c r="AG67" s="469"/>
      <c r="AH67" s="477"/>
      <c r="AI67" s="477"/>
      <c r="AJ67" s="469"/>
      <c r="AK67" s="477"/>
      <c r="AL67" s="477"/>
      <c r="AM67" s="469"/>
      <c r="AN67" s="477"/>
      <c r="AO67" s="477"/>
      <c r="AP67" s="469"/>
      <c r="AQ67" s="470" t="e">
        <f t="shared" si="54"/>
        <v>#REF!</v>
      </c>
      <c r="AR67" s="470" t="e">
        <f t="shared" si="55"/>
        <v>#REF!</v>
      </c>
      <c r="AS67" s="471" t="e">
        <f t="shared" si="56"/>
        <v>#REF!</v>
      </c>
    </row>
    <row r="68" spans="1:45" ht="15.75" customHeight="1">
      <c r="A68" s="474" t="s">
        <v>1149</v>
      </c>
      <c r="B68" s="475" t="s">
        <v>1148</v>
      </c>
      <c r="C68" s="476">
        <v>20000</v>
      </c>
      <c r="D68" s="477"/>
      <c r="E68" s="477"/>
      <c r="F68" s="462">
        <f t="shared" si="58"/>
        <v>0</v>
      </c>
      <c r="G68" s="477"/>
      <c r="H68" s="477"/>
      <c r="I68" s="462">
        <f t="shared" si="59"/>
        <v>0</v>
      </c>
      <c r="J68" s="477"/>
      <c r="K68" s="477"/>
      <c r="L68" s="462">
        <f t="shared" si="60"/>
        <v>0</v>
      </c>
      <c r="M68" s="477"/>
      <c r="N68" s="477"/>
      <c r="O68" s="462">
        <f t="shared" si="61"/>
        <v>0</v>
      </c>
      <c r="P68" s="477"/>
      <c r="Q68" s="477"/>
      <c r="R68" s="462">
        <f t="shared" si="62"/>
        <v>0</v>
      </c>
      <c r="S68" s="477"/>
      <c r="T68" s="477">
        <v>100</v>
      </c>
      <c r="U68" s="462">
        <f t="shared" si="63"/>
        <v>100</v>
      </c>
      <c r="V68" s="477"/>
      <c r="W68" s="477"/>
      <c r="X68" s="469"/>
      <c r="Y68" s="477"/>
      <c r="Z68" s="477"/>
      <c r="AA68" s="469"/>
      <c r="AB68" s="477"/>
      <c r="AC68" s="477"/>
      <c r="AD68" s="469"/>
      <c r="AE68" s="477"/>
      <c r="AF68" s="477"/>
      <c r="AG68" s="469"/>
      <c r="AH68" s="477"/>
      <c r="AI68" s="477"/>
      <c r="AJ68" s="469"/>
      <c r="AK68" s="477"/>
      <c r="AL68" s="477"/>
      <c r="AM68" s="469"/>
      <c r="AN68" s="477"/>
      <c r="AO68" s="477"/>
      <c r="AP68" s="469"/>
      <c r="AQ68" s="470">
        <f t="shared" si="54"/>
        <v>100</v>
      </c>
      <c r="AR68" s="470">
        <f t="shared" si="55"/>
        <v>19900</v>
      </c>
      <c r="AS68" s="471">
        <f t="shared" si="56"/>
        <v>5.0000000000000001E-3</v>
      </c>
    </row>
    <row r="69" spans="1:45" ht="15.75" customHeight="1">
      <c r="A69" s="474" t="s">
        <v>1150</v>
      </c>
      <c r="B69" s="475" t="s">
        <v>847</v>
      </c>
      <c r="C69" s="476">
        <v>5000</v>
      </c>
      <c r="D69" s="477"/>
      <c r="E69" s="477"/>
      <c r="F69" s="462">
        <f t="shared" si="58"/>
        <v>0</v>
      </c>
      <c r="G69" s="477"/>
      <c r="H69" s="477"/>
      <c r="I69" s="462">
        <f t="shared" si="59"/>
        <v>0</v>
      </c>
      <c r="J69" s="477"/>
      <c r="K69" s="477"/>
      <c r="L69" s="462">
        <f t="shared" si="60"/>
        <v>0</v>
      </c>
      <c r="M69" s="477"/>
      <c r="N69" s="477"/>
      <c r="O69" s="462">
        <f t="shared" si="61"/>
        <v>0</v>
      </c>
      <c r="P69" s="477"/>
      <c r="Q69" s="477"/>
      <c r="R69" s="462">
        <f t="shared" si="62"/>
        <v>0</v>
      </c>
      <c r="S69" s="477"/>
      <c r="T69" s="477"/>
      <c r="U69" s="462">
        <f t="shared" si="63"/>
        <v>0</v>
      </c>
      <c r="V69" s="477"/>
      <c r="W69" s="477"/>
      <c r="X69" s="469"/>
      <c r="Y69" s="477"/>
      <c r="Z69" s="477"/>
      <c r="AA69" s="469"/>
      <c r="AB69" s="477"/>
      <c r="AC69" s="477"/>
      <c r="AD69" s="469"/>
      <c r="AE69" s="477"/>
      <c r="AF69" s="477"/>
      <c r="AG69" s="469"/>
      <c r="AH69" s="477"/>
      <c r="AI69" s="477"/>
      <c r="AJ69" s="469"/>
      <c r="AK69" s="477"/>
      <c r="AL69" s="477"/>
      <c r="AM69" s="469"/>
      <c r="AN69" s="477"/>
      <c r="AO69" s="477"/>
      <c r="AP69" s="469"/>
      <c r="AQ69" s="470">
        <f t="shared" si="54"/>
        <v>0</v>
      </c>
      <c r="AR69" s="470">
        <f t="shared" si="55"/>
        <v>5000</v>
      </c>
      <c r="AS69" s="471">
        <f t="shared" si="56"/>
        <v>0</v>
      </c>
    </row>
    <row r="70" spans="1:45" ht="15.75" hidden="1" customHeight="1">
      <c r="A70" s="474" t="s">
        <v>1151</v>
      </c>
      <c r="B70" s="475" t="s">
        <v>1148</v>
      </c>
      <c r="C70" s="476">
        <v>0</v>
      </c>
      <c r="D70" s="477"/>
      <c r="E70" s="477"/>
      <c r="F70" s="462">
        <f t="shared" si="58"/>
        <v>0</v>
      </c>
      <c r="G70" s="477"/>
      <c r="H70" s="477"/>
      <c r="I70" s="462">
        <f t="shared" si="59"/>
        <v>0</v>
      </c>
      <c r="J70" s="477"/>
      <c r="K70" s="477"/>
      <c r="L70" s="462">
        <f t="shared" si="60"/>
        <v>0</v>
      </c>
      <c r="M70" s="477"/>
      <c r="N70" s="477"/>
      <c r="O70" s="462">
        <f t="shared" si="61"/>
        <v>0</v>
      </c>
      <c r="P70" s="477"/>
      <c r="Q70" s="477"/>
      <c r="R70" s="462">
        <f t="shared" si="62"/>
        <v>0</v>
      </c>
      <c r="S70" s="477"/>
      <c r="T70" s="477"/>
      <c r="U70" s="462"/>
      <c r="V70" s="477"/>
      <c r="W70" s="477"/>
      <c r="X70" s="469"/>
      <c r="Y70" s="477"/>
      <c r="Z70" s="477"/>
      <c r="AA70" s="469"/>
      <c r="AB70" s="477"/>
      <c r="AC70" s="477"/>
      <c r="AD70" s="469"/>
      <c r="AE70" s="477"/>
      <c r="AF70" s="477"/>
      <c r="AG70" s="469"/>
      <c r="AH70" s="477"/>
      <c r="AI70" s="477"/>
      <c r="AJ70" s="469"/>
      <c r="AK70" s="477"/>
      <c r="AL70" s="477"/>
      <c r="AM70" s="469"/>
      <c r="AN70" s="477"/>
      <c r="AO70" s="477"/>
      <c r="AP70" s="469"/>
      <c r="AQ70" s="470">
        <f t="shared" si="54"/>
        <v>0</v>
      </c>
      <c r="AR70" s="470">
        <f t="shared" si="55"/>
        <v>0</v>
      </c>
      <c r="AS70" s="471" t="e">
        <f t="shared" si="56"/>
        <v>#DIV/0!</v>
      </c>
    </row>
    <row r="71" spans="1:45" ht="15.75" hidden="1" customHeight="1">
      <c r="A71" s="474" t="s">
        <v>1152</v>
      </c>
      <c r="B71" s="475" t="s">
        <v>1148</v>
      </c>
      <c r="C71" s="476">
        <v>0</v>
      </c>
      <c r="D71" s="477"/>
      <c r="E71" s="477"/>
      <c r="F71" s="462">
        <f t="shared" si="58"/>
        <v>0</v>
      </c>
      <c r="G71" s="477"/>
      <c r="H71" s="477"/>
      <c r="I71" s="462">
        <f t="shared" si="59"/>
        <v>0</v>
      </c>
      <c r="J71" s="477"/>
      <c r="K71" s="477"/>
      <c r="L71" s="462">
        <f t="shared" si="60"/>
        <v>0</v>
      </c>
      <c r="M71" s="477"/>
      <c r="N71" s="477"/>
      <c r="O71" s="462">
        <f t="shared" si="61"/>
        <v>0</v>
      </c>
      <c r="P71" s="477"/>
      <c r="Q71" s="477"/>
      <c r="R71" s="462">
        <f t="shared" si="62"/>
        <v>0</v>
      </c>
      <c r="S71" s="477"/>
      <c r="T71" s="477"/>
      <c r="U71" s="462"/>
      <c r="V71" s="477"/>
      <c r="W71" s="477"/>
      <c r="X71" s="469"/>
      <c r="Y71" s="477"/>
      <c r="Z71" s="477"/>
      <c r="AA71" s="469"/>
      <c r="AB71" s="477"/>
      <c r="AC71" s="477"/>
      <c r="AD71" s="469"/>
      <c r="AE71" s="477"/>
      <c r="AF71" s="477"/>
      <c r="AG71" s="469"/>
      <c r="AH71" s="477"/>
      <c r="AI71" s="477"/>
      <c r="AJ71" s="469"/>
      <c r="AK71" s="477"/>
      <c r="AL71" s="477"/>
      <c r="AM71" s="469"/>
      <c r="AN71" s="477"/>
      <c r="AO71" s="477"/>
      <c r="AP71" s="469"/>
      <c r="AQ71" s="470">
        <f t="shared" si="54"/>
        <v>0</v>
      </c>
      <c r="AR71" s="470">
        <f t="shared" si="55"/>
        <v>0</v>
      </c>
      <c r="AS71" s="471" t="e">
        <f t="shared" si="56"/>
        <v>#DIV/0!</v>
      </c>
    </row>
    <row r="72" spans="1:45" ht="15.75" hidden="1" customHeight="1">
      <c r="A72" s="498" t="s">
        <v>1153</v>
      </c>
      <c r="B72" s="499"/>
      <c r="C72" s="466">
        <v>0</v>
      </c>
      <c r="D72" s="467"/>
      <c r="E72" s="467"/>
      <c r="F72" s="462">
        <f t="shared" si="58"/>
        <v>0</v>
      </c>
      <c r="G72" s="467"/>
      <c r="H72" s="467"/>
      <c r="I72" s="462">
        <f t="shared" si="59"/>
        <v>0</v>
      </c>
      <c r="J72" s="467"/>
      <c r="K72" s="467"/>
      <c r="L72" s="462">
        <f t="shared" si="60"/>
        <v>0</v>
      </c>
      <c r="M72" s="467"/>
      <c r="N72" s="467"/>
      <c r="O72" s="462">
        <f t="shared" si="61"/>
        <v>0</v>
      </c>
      <c r="P72" s="467"/>
      <c r="Q72" s="467"/>
      <c r="R72" s="462">
        <f t="shared" si="62"/>
        <v>0</v>
      </c>
      <c r="S72" s="467"/>
      <c r="T72" s="467"/>
      <c r="U72" s="462"/>
      <c r="V72" s="467"/>
      <c r="W72" s="467"/>
      <c r="X72" s="469"/>
      <c r="Y72" s="467"/>
      <c r="Z72" s="467"/>
      <c r="AA72" s="469"/>
      <c r="AB72" s="467"/>
      <c r="AC72" s="467"/>
      <c r="AD72" s="469"/>
      <c r="AE72" s="467"/>
      <c r="AF72" s="467"/>
      <c r="AG72" s="469"/>
      <c r="AH72" s="467"/>
      <c r="AI72" s="467"/>
      <c r="AJ72" s="469"/>
      <c r="AK72" s="467"/>
      <c r="AL72" s="467"/>
      <c r="AM72" s="469"/>
      <c r="AN72" s="467"/>
      <c r="AO72" s="467"/>
      <c r="AP72" s="469"/>
      <c r="AQ72" s="470">
        <f t="shared" si="54"/>
        <v>0</v>
      </c>
      <c r="AR72" s="470">
        <f t="shared" si="55"/>
        <v>0</v>
      </c>
      <c r="AS72" s="471" t="e">
        <f t="shared" si="56"/>
        <v>#DIV/0!</v>
      </c>
    </row>
    <row r="73" spans="1:45" ht="15.75" hidden="1" customHeight="1">
      <c r="A73" s="498" t="s">
        <v>1154</v>
      </c>
      <c r="B73" s="499"/>
      <c r="C73" s="466">
        <v>0</v>
      </c>
      <c r="D73" s="467"/>
      <c r="E73" s="467"/>
      <c r="F73" s="462">
        <f t="shared" si="58"/>
        <v>0</v>
      </c>
      <c r="G73" s="467"/>
      <c r="H73" s="467"/>
      <c r="I73" s="462">
        <f t="shared" si="59"/>
        <v>0</v>
      </c>
      <c r="J73" s="467"/>
      <c r="K73" s="467"/>
      <c r="L73" s="462">
        <f t="shared" si="60"/>
        <v>0</v>
      </c>
      <c r="M73" s="467"/>
      <c r="N73" s="467"/>
      <c r="O73" s="462">
        <f t="shared" si="61"/>
        <v>0</v>
      </c>
      <c r="P73" s="467"/>
      <c r="Q73" s="467"/>
      <c r="R73" s="462">
        <f t="shared" si="62"/>
        <v>0</v>
      </c>
      <c r="S73" s="467"/>
      <c r="T73" s="467"/>
      <c r="U73" s="462"/>
      <c r="V73" s="467"/>
      <c r="W73" s="467"/>
      <c r="X73" s="469"/>
      <c r="Y73" s="467"/>
      <c r="Z73" s="467"/>
      <c r="AA73" s="469"/>
      <c r="AB73" s="467"/>
      <c r="AC73" s="467"/>
      <c r="AD73" s="469"/>
      <c r="AE73" s="467"/>
      <c r="AF73" s="467"/>
      <c r="AG73" s="469"/>
      <c r="AH73" s="467"/>
      <c r="AI73" s="467"/>
      <c r="AJ73" s="469"/>
      <c r="AK73" s="467"/>
      <c r="AL73" s="467"/>
      <c r="AM73" s="469"/>
      <c r="AN73" s="467"/>
      <c r="AO73" s="467"/>
      <c r="AP73" s="469"/>
      <c r="AQ73" s="470">
        <f t="shared" si="54"/>
        <v>0</v>
      </c>
      <c r="AR73" s="470">
        <f t="shared" si="55"/>
        <v>0</v>
      </c>
      <c r="AS73" s="471" t="e">
        <f t="shared" si="56"/>
        <v>#DIV/0!</v>
      </c>
    </row>
    <row r="74" spans="1:45" ht="15.75" hidden="1" customHeight="1">
      <c r="A74" s="498" t="s">
        <v>949</v>
      </c>
      <c r="B74" s="499"/>
      <c r="C74" s="466">
        <v>0</v>
      </c>
      <c r="D74" s="467"/>
      <c r="E74" s="467"/>
      <c r="F74" s="462">
        <f t="shared" si="58"/>
        <v>0</v>
      </c>
      <c r="G74" s="467"/>
      <c r="H74" s="467"/>
      <c r="I74" s="462">
        <f t="shared" si="59"/>
        <v>0</v>
      </c>
      <c r="J74" s="467"/>
      <c r="K74" s="467"/>
      <c r="L74" s="462">
        <f t="shared" si="60"/>
        <v>0</v>
      </c>
      <c r="M74" s="467"/>
      <c r="N74" s="467"/>
      <c r="O74" s="462">
        <f t="shared" si="61"/>
        <v>0</v>
      </c>
      <c r="P74" s="467"/>
      <c r="Q74" s="467"/>
      <c r="R74" s="462">
        <f t="shared" si="62"/>
        <v>0</v>
      </c>
      <c r="S74" s="467"/>
      <c r="T74" s="467"/>
      <c r="U74" s="462"/>
      <c r="V74" s="467"/>
      <c r="W74" s="467"/>
      <c r="X74" s="469"/>
      <c r="Y74" s="467"/>
      <c r="Z74" s="467"/>
      <c r="AA74" s="469"/>
      <c r="AB74" s="467"/>
      <c r="AC74" s="467"/>
      <c r="AD74" s="469"/>
      <c r="AE74" s="467"/>
      <c r="AF74" s="467"/>
      <c r="AG74" s="469"/>
      <c r="AH74" s="467"/>
      <c r="AI74" s="467"/>
      <c r="AJ74" s="469"/>
      <c r="AK74" s="467"/>
      <c r="AL74" s="467"/>
      <c r="AM74" s="469"/>
      <c r="AN74" s="467"/>
      <c r="AO74" s="467"/>
      <c r="AP74" s="469"/>
      <c r="AQ74" s="470">
        <f t="shared" si="54"/>
        <v>0</v>
      </c>
      <c r="AR74" s="470">
        <f t="shared" si="55"/>
        <v>0</v>
      </c>
      <c r="AS74" s="471" t="e">
        <f t="shared" si="56"/>
        <v>#DIV/0!</v>
      </c>
    </row>
    <row r="75" spans="1:45" ht="15.75" customHeight="1">
      <c r="A75" s="488" t="s">
        <v>844</v>
      </c>
      <c r="B75" s="489"/>
      <c r="C75" s="490">
        <f t="shared" ref="C75:U75" si="64">C64+C65</f>
        <v>99500</v>
      </c>
      <c r="D75" s="491" t="e">
        <f t="shared" si="64"/>
        <v>#REF!</v>
      </c>
      <c r="E75" s="491">
        <f t="shared" si="64"/>
        <v>0</v>
      </c>
      <c r="F75" s="491" t="e">
        <f t="shared" si="64"/>
        <v>#REF!</v>
      </c>
      <c r="G75" s="491">
        <f t="shared" si="64"/>
        <v>0</v>
      </c>
      <c r="H75" s="491">
        <f t="shared" si="64"/>
        <v>0</v>
      </c>
      <c r="I75" s="491">
        <f t="shared" si="64"/>
        <v>0</v>
      </c>
      <c r="J75" s="491">
        <f t="shared" si="64"/>
        <v>0</v>
      </c>
      <c r="K75" s="491">
        <f t="shared" si="64"/>
        <v>0</v>
      </c>
      <c r="L75" s="491">
        <f t="shared" si="64"/>
        <v>0</v>
      </c>
      <c r="M75" s="491" t="e">
        <f t="shared" si="64"/>
        <v>#REF!</v>
      </c>
      <c r="N75" s="491">
        <f t="shared" si="64"/>
        <v>0</v>
      </c>
      <c r="O75" s="491" t="e">
        <f t="shared" si="64"/>
        <v>#REF!</v>
      </c>
      <c r="P75" s="491">
        <f t="shared" si="64"/>
        <v>0</v>
      </c>
      <c r="Q75" s="491">
        <f t="shared" si="64"/>
        <v>0</v>
      </c>
      <c r="R75" s="491">
        <f t="shared" si="64"/>
        <v>0</v>
      </c>
      <c r="S75" s="491">
        <f t="shared" si="64"/>
        <v>0</v>
      </c>
      <c r="T75" s="491">
        <f t="shared" si="64"/>
        <v>100</v>
      </c>
      <c r="U75" s="491">
        <f t="shared" si="64"/>
        <v>100</v>
      </c>
      <c r="V75" s="491"/>
      <c r="W75" s="492"/>
      <c r="X75" s="493"/>
      <c r="Y75" s="491"/>
      <c r="Z75" s="492"/>
      <c r="AA75" s="493"/>
      <c r="AB75" s="491"/>
      <c r="AC75" s="492"/>
      <c r="AD75" s="493"/>
      <c r="AE75" s="491"/>
      <c r="AF75" s="492"/>
      <c r="AG75" s="493"/>
      <c r="AH75" s="491"/>
      <c r="AI75" s="492"/>
      <c r="AJ75" s="493"/>
      <c r="AK75" s="491"/>
      <c r="AL75" s="492"/>
      <c r="AM75" s="493"/>
      <c r="AN75" s="491"/>
      <c r="AO75" s="492"/>
      <c r="AP75" s="493"/>
      <c r="AQ75" s="494" t="e">
        <f t="shared" si="54"/>
        <v>#REF!</v>
      </c>
      <c r="AR75" s="494" t="e">
        <f t="shared" si="55"/>
        <v>#REF!</v>
      </c>
      <c r="AS75" s="495" t="e">
        <f t="shared" si="56"/>
        <v>#REF!</v>
      </c>
    </row>
    <row r="76" spans="1:45" ht="15.75" customHeight="1">
      <c r="A76" s="496" t="s">
        <v>845</v>
      </c>
      <c r="B76" s="501"/>
      <c r="C76" s="476"/>
      <c r="D76" s="480"/>
      <c r="E76" s="480"/>
      <c r="F76" s="461"/>
      <c r="G76" s="480"/>
      <c r="H76" s="480"/>
      <c r="I76" s="461"/>
      <c r="J76" s="480"/>
      <c r="K76" s="480"/>
      <c r="L76" s="462"/>
      <c r="M76" s="480"/>
      <c r="N76" s="480"/>
      <c r="O76" s="462"/>
      <c r="P76" s="480"/>
      <c r="Q76" s="480"/>
      <c r="R76" s="462"/>
      <c r="S76" s="480"/>
      <c r="T76" s="480"/>
      <c r="U76" s="462"/>
      <c r="V76" s="480"/>
      <c r="W76" s="480"/>
      <c r="X76" s="468"/>
      <c r="Y76" s="480"/>
      <c r="Z76" s="480"/>
      <c r="AA76" s="469"/>
      <c r="AB76" s="480"/>
      <c r="AC76" s="480"/>
      <c r="AD76" s="469"/>
      <c r="AE76" s="480"/>
      <c r="AF76" s="480"/>
      <c r="AG76" s="469"/>
      <c r="AH76" s="480"/>
      <c r="AI76" s="480"/>
      <c r="AJ76" s="469"/>
      <c r="AK76" s="480"/>
      <c r="AL76" s="480"/>
      <c r="AM76" s="469"/>
      <c r="AN76" s="480"/>
      <c r="AO76" s="480"/>
      <c r="AP76" s="469"/>
      <c r="AQ76" s="470"/>
      <c r="AR76" s="470"/>
      <c r="AS76" s="471"/>
    </row>
    <row r="77" spans="1:45" ht="15.75" customHeight="1">
      <c r="A77" s="464" t="s">
        <v>1155</v>
      </c>
      <c r="B77" s="465" t="s">
        <v>847</v>
      </c>
      <c r="C77" s="466">
        <f t="shared" ref="C77:U77" si="65">C78+C79</f>
        <v>7500</v>
      </c>
      <c r="D77" s="467">
        <f t="shared" si="65"/>
        <v>0</v>
      </c>
      <c r="E77" s="467">
        <f t="shared" si="65"/>
        <v>0</v>
      </c>
      <c r="F77" s="467">
        <f t="shared" si="65"/>
        <v>0</v>
      </c>
      <c r="G77" s="467">
        <f t="shared" si="65"/>
        <v>0</v>
      </c>
      <c r="H77" s="467">
        <f t="shared" si="65"/>
        <v>0</v>
      </c>
      <c r="I77" s="467">
        <f t="shared" si="65"/>
        <v>0</v>
      </c>
      <c r="J77" s="467" t="e">
        <f t="shared" si="65"/>
        <v>#REF!</v>
      </c>
      <c r="K77" s="467">
        <f t="shared" si="65"/>
        <v>0</v>
      </c>
      <c r="L77" s="467" t="e">
        <f t="shared" si="65"/>
        <v>#REF!</v>
      </c>
      <c r="M77" s="467">
        <f t="shared" si="65"/>
        <v>0</v>
      </c>
      <c r="N77" s="467">
        <f t="shared" si="65"/>
        <v>0</v>
      </c>
      <c r="O77" s="467">
        <f t="shared" si="65"/>
        <v>0</v>
      </c>
      <c r="P77" s="467">
        <f t="shared" si="65"/>
        <v>0</v>
      </c>
      <c r="Q77" s="467">
        <f t="shared" si="65"/>
        <v>0</v>
      </c>
      <c r="R77" s="467">
        <f t="shared" si="65"/>
        <v>0</v>
      </c>
      <c r="S77" s="467">
        <f t="shared" si="65"/>
        <v>0</v>
      </c>
      <c r="T77" s="467">
        <f t="shared" si="65"/>
        <v>0</v>
      </c>
      <c r="U77" s="467">
        <f t="shared" si="65"/>
        <v>0</v>
      </c>
      <c r="V77" s="467"/>
      <c r="W77" s="467"/>
      <c r="X77" s="468"/>
      <c r="Y77" s="467"/>
      <c r="Z77" s="467"/>
      <c r="AA77" s="469"/>
      <c r="AB77" s="467"/>
      <c r="AC77" s="467"/>
      <c r="AD77" s="469"/>
      <c r="AE77" s="467"/>
      <c r="AF77" s="467"/>
      <c r="AG77" s="469"/>
      <c r="AH77" s="467"/>
      <c r="AI77" s="467"/>
      <c r="AJ77" s="469"/>
      <c r="AK77" s="467"/>
      <c r="AL77" s="467"/>
      <c r="AM77" s="469"/>
      <c r="AN77" s="467"/>
      <c r="AO77" s="467"/>
      <c r="AP77" s="469"/>
      <c r="AQ77" s="470" t="e">
        <f t="shared" ref="AQ77:AQ83" si="66">F77+I77+L77+O77+R77+U77</f>
        <v>#REF!</v>
      </c>
      <c r="AR77" s="470" t="e">
        <f t="shared" ref="AR77:AR83" si="67">C77-AQ77</f>
        <v>#REF!</v>
      </c>
      <c r="AS77" s="471" t="e">
        <f t="shared" ref="AS77:AS79" si="68">AQ77/C77</f>
        <v>#REF!</v>
      </c>
    </row>
    <row r="78" spans="1:45" ht="15.75" customHeight="1">
      <c r="A78" s="474" t="s">
        <v>1156</v>
      </c>
      <c r="B78" s="475" t="s">
        <v>847</v>
      </c>
      <c r="C78" s="476">
        <v>2500</v>
      </c>
      <c r="D78" s="477"/>
      <c r="E78" s="477"/>
      <c r="F78" s="462">
        <f t="shared" ref="F78:F82" si="69">D78+E78</f>
        <v>0</v>
      </c>
      <c r="G78" s="477"/>
      <c r="H78" s="477"/>
      <c r="I78" s="462">
        <f t="shared" ref="I78:I80" si="70">G78+H78</f>
        <v>0</v>
      </c>
      <c r="J78" s="477"/>
      <c r="K78" s="477"/>
      <c r="L78" s="462">
        <f t="shared" ref="L78:L81" si="71">J78+K78</f>
        <v>0</v>
      </c>
      <c r="M78" s="477"/>
      <c r="N78" s="477"/>
      <c r="O78" s="462">
        <f t="shared" ref="O78:O82" si="72">M78+N78</f>
        <v>0</v>
      </c>
      <c r="P78" s="477"/>
      <c r="Q78" s="477"/>
      <c r="R78" s="462">
        <f t="shared" ref="R78:R82" si="73">P78+Q78</f>
        <v>0</v>
      </c>
      <c r="S78" s="477"/>
      <c r="T78" s="477"/>
      <c r="U78" s="462">
        <f t="shared" ref="U78:U82" si="74">S78+T78</f>
        <v>0</v>
      </c>
      <c r="V78" s="477"/>
      <c r="W78" s="477"/>
      <c r="X78" s="469"/>
      <c r="Y78" s="477"/>
      <c r="Z78" s="477"/>
      <c r="AA78" s="469"/>
      <c r="AB78" s="477"/>
      <c r="AC78" s="477"/>
      <c r="AD78" s="469"/>
      <c r="AE78" s="477"/>
      <c r="AF78" s="477"/>
      <c r="AG78" s="469"/>
      <c r="AH78" s="477"/>
      <c r="AI78" s="477"/>
      <c r="AJ78" s="469"/>
      <c r="AK78" s="477"/>
      <c r="AL78" s="477"/>
      <c r="AM78" s="469"/>
      <c r="AN78" s="477"/>
      <c r="AO78" s="477"/>
      <c r="AP78" s="469"/>
      <c r="AQ78" s="470">
        <f t="shared" si="66"/>
        <v>0</v>
      </c>
      <c r="AR78" s="470">
        <f t="shared" si="67"/>
        <v>2500</v>
      </c>
      <c r="AS78" s="471">
        <f t="shared" si="68"/>
        <v>0</v>
      </c>
    </row>
    <row r="79" spans="1:45" ht="15.75" customHeight="1">
      <c r="A79" s="474" t="s">
        <v>1157</v>
      </c>
      <c r="B79" s="475" t="s">
        <v>847</v>
      </c>
      <c r="C79" s="476">
        <v>5000</v>
      </c>
      <c r="D79" s="477"/>
      <c r="E79" s="477"/>
      <c r="F79" s="462">
        <f t="shared" si="69"/>
        <v>0</v>
      </c>
      <c r="G79" s="477"/>
      <c r="H79" s="477"/>
      <c r="I79" s="462">
        <f t="shared" si="70"/>
        <v>0</v>
      </c>
      <c r="J79" s="477" t="e">
        <f>'Bank XOF'!#REF!/655.957</f>
        <v>#REF!</v>
      </c>
      <c r="K79" s="477"/>
      <c r="L79" s="462" t="e">
        <f t="shared" si="71"/>
        <v>#REF!</v>
      </c>
      <c r="M79" s="477"/>
      <c r="N79" s="477"/>
      <c r="O79" s="462">
        <f t="shared" si="72"/>
        <v>0</v>
      </c>
      <c r="P79" s="477"/>
      <c r="Q79" s="477"/>
      <c r="R79" s="462">
        <f t="shared" si="73"/>
        <v>0</v>
      </c>
      <c r="S79" s="477"/>
      <c r="T79" s="477"/>
      <c r="U79" s="462">
        <f t="shared" si="74"/>
        <v>0</v>
      </c>
      <c r="V79" s="477"/>
      <c r="W79" s="477"/>
      <c r="X79" s="469"/>
      <c r="Y79" s="477"/>
      <c r="Z79" s="477"/>
      <c r="AA79" s="469"/>
      <c r="AB79" s="477"/>
      <c r="AC79" s="477"/>
      <c r="AD79" s="469"/>
      <c r="AE79" s="477"/>
      <c r="AF79" s="477"/>
      <c r="AG79" s="469"/>
      <c r="AH79" s="477"/>
      <c r="AI79" s="477"/>
      <c r="AJ79" s="469"/>
      <c r="AK79" s="477"/>
      <c r="AL79" s="477"/>
      <c r="AM79" s="469"/>
      <c r="AN79" s="477"/>
      <c r="AO79" s="477"/>
      <c r="AP79" s="469"/>
      <c r="AQ79" s="470" t="e">
        <f t="shared" si="66"/>
        <v>#REF!</v>
      </c>
      <c r="AR79" s="470" t="e">
        <f t="shared" si="67"/>
        <v>#REF!</v>
      </c>
      <c r="AS79" s="471" t="e">
        <f t="shared" si="68"/>
        <v>#REF!</v>
      </c>
    </row>
    <row r="80" spans="1:45" ht="15.75" customHeight="1">
      <c r="A80" s="498" t="s">
        <v>1158</v>
      </c>
      <c r="B80" s="499" t="s">
        <v>847</v>
      </c>
      <c r="C80" s="476">
        <v>0</v>
      </c>
      <c r="D80" s="467"/>
      <c r="E80" s="467"/>
      <c r="F80" s="462">
        <f t="shared" si="69"/>
        <v>0</v>
      </c>
      <c r="G80" s="467"/>
      <c r="H80" s="467"/>
      <c r="I80" s="462">
        <f t="shared" si="70"/>
        <v>0</v>
      </c>
      <c r="J80" s="467"/>
      <c r="K80" s="467"/>
      <c r="L80" s="462">
        <f t="shared" si="71"/>
        <v>0</v>
      </c>
      <c r="M80" s="467"/>
      <c r="N80" s="467"/>
      <c r="O80" s="462">
        <f t="shared" si="72"/>
        <v>0</v>
      </c>
      <c r="P80" s="467"/>
      <c r="Q80" s="467"/>
      <c r="R80" s="462">
        <f t="shared" si="73"/>
        <v>0</v>
      </c>
      <c r="S80" s="467"/>
      <c r="T80" s="467"/>
      <c r="U80" s="462">
        <f t="shared" si="74"/>
        <v>0</v>
      </c>
      <c r="V80" s="467"/>
      <c r="W80" s="467"/>
      <c r="X80" s="469"/>
      <c r="Y80" s="467"/>
      <c r="Z80" s="467"/>
      <c r="AA80" s="469"/>
      <c r="AB80" s="467"/>
      <c r="AC80" s="467"/>
      <c r="AD80" s="469"/>
      <c r="AE80" s="467"/>
      <c r="AF80" s="467"/>
      <c r="AG80" s="469"/>
      <c r="AH80" s="467"/>
      <c r="AI80" s="467"/>
      <c r="AJ80" s="469"/>
      <c r="AK80" s="467"/>
      <c r="AL80" s="467"/>
      <c r="AM80" s="469"/>
      <c r="AN80" s="467"/>
      <c r="AO80" s="467"/>
      <c r="AP80" s="469"/>
      <c r="AQ80" s="470">
        <f t="shared" si="66"/>
        <v>0</v>
      </c>
      <c r="AR80" s="470">
        <f t="shared" si="67"/>
        <v>0</v>
      </c>
      <c r="AS80" s="471"/>
    </row>
    <row r="81" spans="1:45" ht="15.75" customHeight="1">
      <c r="A81" s="498" t="s">
        <v>1159</v>
      </c>
      <c r="B81" s="499" t="s">
        <v>847</v>
      </c>
      <c r="C81" s="476">
        <v>10000</v>
      </c>
      <c r="D81" s="467"/>
      <c r="E81" s="467"/>
      <c r="F81" s="462">
        <f t="shared" si="69"/>
        <v>0</v>
      </c>
      <c r="G81" s="467"/>
      <c r="H81" s="467"/>
      <c r="I81" s="462"/>
      <c r="J81" s="467"/>
      <c r="K81" s="467"/>
      <c r="L81" s="462">
        <f t="shared" si="71"/>
        <v>0</v>
      </c>
      <c r="M81" s="480" t="e">
        <f>'Bank XOF'!#REF!/655.957</f>
        <v>#REF!</v>
      </c>
      <c r="N81" s="467"/>
      <c r="O81" s="462" t="e">
        <f t="shared" si="72"/>
        <v>#REF!</v>
      </c>
      <c r="P81" s="467"/>
      <c r="Q81" s="467"/>
      <c r="R81" s="462">
        <f t="shared" si="73"/>
        <v>0</v>
      </c>
      <c r="S81" s="467"/>
      <c r="T81" s="467"/>
      <c r="U81" s="462">
        <f t="shared" si="74"/>
        <v>0</v>
      </c>
      <c r="V81" s="467"/>
      <c r="W81" s="467"/>
      <c r="X81" s="469"/>
      <c r="Y81" s="467"/>
      <c r="Z81" s="467"/>
      <c r="AA81" s="469"/>
      <c r="AB81" s="467"/>
      <c r="AC81" s="467"/>
      <c r="AD81" s="469"/>
      <c r="AE81" s="467"/>
      <c r="AF81" s="467"/>
      <c r="AG81" s="469"/>
      <c r="AH81" s="467"/>
      <c r="AI81" s="467"/>
      <c r="AJ81" s="469"/>
      <c r="AK81" s="467"/>
      <c r="AL81" s="467"/>
      <c r="AM81" s="469"/>
      <c r="AN81" s="467"/>
      <c r="AO81" s="467"/>
      <c r="AP81" s="469"/>
      <c r="AQ81" s="470" t="e">
        <f t="shared" si="66"/>
        <v>#REF!</v>
      </c>
      <c r="AR81" s="470" t="e">
        <f t="shared" si="67"/>
        <v>#REF!</v>
      </c>
      <c r="AS81" s="471" t="e">
        <f t="shared" ref="AS81:AS83" si="75">AQ81/C81</f>
        <v>#REF!</v>
      </c>
    </row>
    <row r="82" spans="1:45" ht="15.75" customHeight="1">
      <c r="A82" s="498" t="s">
        <v>1160</v>
      </c>
      <c r="B82" s="499" t="s">
        <v>745</v>
      </c>
      <c r="C82" s="476">
        <v>19200</v>
      </c>
      <c r="D82" s="467"/>
      <c r="E82" s="467"/>
      <c r="F82" s="462">
        <f t="shared" si="69"/>
        <v>0</v>
      </c>
      <c r="G82" s="467"/>
      <c r="H82" s="467"/>
      <c r="I82" s="462"/>
      <c r="J82" s="467"/>
      <c r="K82" s="467"/>
      <c r="L82" s="462"/>
      <c r="M82" s="480" t="e">
        <f>'Bank XOF'!#REF!/655.957</f>
        <v>#REF!</v>
      </c>
      <c r="N82" s="467"/>
      <c r="O82" s="462" t="e">
        <f t="shared" si="72"/>
        <v>#REF!</v>
      </c>
      <c r="P82" s="467"/>
      <c r="Q82" s="467"/>
      <c r="R82" s="462">
        <f t="shared" si="73"/>
        <v>0</v>
      </c>
      <c r="S82" s="467"/>
      <c r="T82" s="467"/>
      <c r="U82" s="462">
        <f t="shared" si="74"/>
        <v>0</v>
      </c>
      <c r="V82" s="467"/>
      <c r="W82" s="467"/>
      <c r="X82" s="469"/>
      <c r="Y82" s="467"/>
      <c r="Z82" s="467"/>
      <c r="AA82" s="469"/>
      <c r="AB82" s="467"/>
      <c r="AC82" s="467"/>
      <c r="AD82" s="469"/>
      <c r="AE82" s="467"/>
      <c r="AF82" s="467"/>
      <c r="AG82" s="469"/>
      <c r="AH82" s="467"/>
      <c r="AI82" s="467"/>
      <c r="AJ82" s="469"/>
      <c r="AK82" s="467"/>
      <c r="AL82" s="467"/>
      <c r="AM82" s="469"/>
      <c r="AN82" s="467"/>
      <c r="AO82" s="467"/>
      <c r="AP82" s="469"/>
      <c r="AQ82" s="470" t="e">
        <f t="shared" si="66"/>
        <v>#REF!</v>
      </c>
      <c r="AR82" s="470" t="e">
        <f t="shared" si="67"/>
        <v>#REF!</v>
      </c>
      <c r="AS82" s="471" t="e">
        <f t="shared" si="75"/>
        <v>#REF!</v>
      </c>
    </row>
    <row r="83" spans="1:45" ht="15.75" customHeight="1">
      <c r="A83" s="488" t="s">
        <v>852</v>
      </c>
      <c r="B83" s="489"/>
      <c r="C83" s="490">
        <f t="shared" ref="C83:U83" si="76">C82+C81+C77</f>
        <v>36700</v>
      </c>
      <c r="D83" s="491">
        <f t="shared" si="76"/>
        <v>0</v>
      </c>
      <c r="E83" s="491">
        <f t="shared" si="76"/>
        <v>0</v>
      </c>
      <c r="F83" s="491">
        <f t="shared" si="76"/>
        <v>0</v>
      </c>
      <c r="G83" s="491">
        <f t="shared" si="76"/>
        <v>0</v>
      </c>
      <c r="H83" s="491">
        <f t="shared" si="76"/>
        <v>0</v>
      </c>
      <c r="I83" s="491">
        <f t="shared" si="76"/>
        <v>0</v>
      </c>
      <c r="J83" s="491" t="e">
        <f t="shared" si="76"/>
        <v>#REF!</v>
      </c>
      <c r="K83" s="491">
        <f t="shared" si="76"/>
        <v>0</v>
      </c>
      <c r="L83" s="491" t="e">
        <f t="shared" si="76"/>
        <v>#REF!</v>
      </c>
      <c r="M83" s="491" t="e">
        <f t="shared" si="76"/>
        <v>#REF!</v>
      </c>
      <c r="N83" s="491">
        <f t="shared" si="76"/>
        <v>0</v>
      </c>
      <c r="O83" s="491" t="e">
        <f t="shared" si="76"/>
        <v>#REF!</v>
      </c>
      <c r="P83" s="491">
        <f t="shared" si="76"/>
        <v>0</v>
      </c>
      <c r="Q83" s="491">
        <f t="shared" si="76"/>
        <v>0</v>
      </c>
      <c r="R83" s="491">
        <f t="shared" si="76"/>
        <v>0</v>
      </c>
      <c r="S83" s="491">
        <f t="shared" si="76"/>
        <v>0</v>
      </c>
      <c r="T83" s="491">
        <f t="shared" si="76"/>
        <v>0</v>
      </c>
      <c r="U83" s="491">
        <f t="shared" si="76"/>
        <v>0</v>
      </c>
      <c r="V83" s="491"/>
      <c r="W83" s="492"/>
      <c r="X83" s="493"/>
      <c r="Y83" s="491"/>
      <c r="Z83" s="492"/>
      <c r="AA83" s="493"/>
      <c r="AB83" s="491"/>
      <c r="AC83" s="492"/>
      <c r="AD83" s="493"/>
      <c r="AE83" s="491"/>
      <c r="AF83" s="492"/>
      <c r="AG83" s="493"/>
      <c r="AH83" s="491"/>
      <c r="AI83" s="492"/>
      <c r="AJ83" s="493"/>
      <c r="AK83" s="491"/>
      <c r="AL83" s="492"/>
      <c r="AM83" s="493"/>
      <c r="AN83" s="491"/>
      <c r="AO83" s="492"/>
      <c r="AP83" s="493"/>
      <c r="AQ83" s="494" t="e">
        <f t="shared" si="66"/>
        <v>#REF!</v>
      </c>
      <c r="AR83" s="494" t="e">
        <f t="shared" si="67"/>
        <v>#REF!</v>
      </c>
      <c r="AS83" s="495" t="e">
        <f t="shared" si="75"/>
        <v>#REF!</v>
      </c>
    </row>
    <row r="84" spans="1:45" ht="15.75" customHeight="1">
      <c r="A84" s="496" t="s">
        <v>1161</v>
      </c>
      <c r="B84" s="497"/>
      <c r="C84" s="466"/>
      <c r="D84" s="467"/>
      <c r="E84" s="467"/>
      <c r="F84" s="461"/>
      <c r="G84" s="467"/>
      <c r="H84" s="467"/>
      <c r="I84" s="461"/>
      <c r="J84" s="467"/>
      <c r="K84" s="467"/>
      <c r="L84" s="462"/>
      <c r="M84" s="467"/>
      <c r="N84" s="467"/>
      <c r="O84" s="462"/>
      <c r="P84" s="467"/>
      <c r="Q84" s="467"/>
      <c r="R84" s="462"/>
      <c r="S84" s="467"/>
      <c r="T84" s="467"/>
      <c r="U84" s="462"/>
      <c r="V84" s="467"/>
      <c r="W84" s="467"/>
      <c r="X84" s="468"/>
      <c r="Y84" s="467"/>
      <c r="Z84" s="467"/>
      <c r="AA84" s="469"/>
      <c r="AB84" s="467"/>
      <c r="AC84" s="467"/>
      <c r="AD84" s="469"/>
      <c r="AE84" s="467"/>
      <c r="AF84" s="467"/>
      <c r="AG84" s="469"/>
      <c r="AH84" s="467"/>
      <c r="AI84" s="467"/>
      <c r="AJ84" s="469"/>
      <c r="AK84" s="467"/>
      <c r="AL84" s="467"/>
      <c r="AM84" s="469"/>
      <c r="AN84" s="467"/>
      <c r="AO84" s="467"/>
      <c r="AP84" s="469"/>
      <c r="AQ84" s="470"/>
      <c r="AR84" s="470"/>
      <c r="AS84" s="471"/>
    </row>
    <row r="85" spans="1:45" ht="15.75" customHeight="1">
      <c r="A85" s="498" t="s">
        <v>1162</v>
      </c>
      <c r="B85" s="502"/>
      <c r="C85" s="466"/>
      <c r="D85" s="503"/>
      <c r="E85" s="503"/>
      <c r="F85" s="462"/>
      <c r="G85" s="503"/>
      <c r="H85" s="503"/>
      <c r="I85" s="462"/>
      <c r="J85" s="503"/>
      <c r="K85" s="503"/>
      <c r="L85" s="462"/>
      <c r="M85" s="503"/>
      <c r="N85" s="503"/>
      <c r="O85" s="462"/>
      <c r="P85" s="503"/>
      <c r="Q85" s="503"/>
      <c r="R85" s="462"/>
      <c r="S85" s="503"/>
      <c r="T85" s="503"/>
      <c r="U85" s="462"/>
      <c r="V85" s="503"/>
      <c r="W85" s="503"/>
      <c r="X85" s="469"/>
      <c r="Y85" s="503"/>
      <c r="Z85" s="503"/>
      <c r="AA85" s="469"/>
      <c r="AB85" s="503"/>
      <c r="AC85" s="503"/>
      <c r="AD85" s="469"/>
      <c r="AE85" s="503"/>
      <c r="AF85" s="503"/>
      <c r="AG85" s="469"/>
      <c r="AH85" s="503"/>
      <c r="AI85" s="503"/>
      <c r="AJ85" s="469"/>
      <c r="AK85" s="503"/>
      <c r="AL85" s="503"/>
      <c r="AM85" s="469"/>
      <c r="AN85" s="503"/>
      <c r="AO85" s="503"/>
      <c r="AP85" s="469"/>
      <c r="AQ85" s="470"/>
      <c r="AR85" s="470"/>
      <c r="AS85" s="471"/>
    </row>
    <row r="86" spans="1:45" ht="15.75" customHeight="1">
      <c r="A86" s="498" t="s">
        <v>1163</v>
      </c>
      <c r="B86" s="502"/>
      <c r="C86" s="476">
        <v>0</v>
      </c>
      <c r="D86" s="503"/>
      <c r="E86" s="503"/>
      <c r="F86" s="462">
        <f t="shared" ref="F86:F99" si="77">D86+E86</f>
        <v>0</v>
      </c>
      <c r="G86" s="503"/>
      <c r="H86" s="503"/>
      <c r="I86" s="462">
        <f t="shared" ref="I86:I99" si="78">G86+H86</f>
        <v>0</v>
      </c>
      <c r="J86" s="503"/>
      <c r="K86" s="503"/>
      <c r="L86" s="462">
        <f t="shared" ref="L86:L99" si="79">J86+K86</f>
        <v>0</v>
      </c>
      <c r="M86" s="503"/>
      <c r="N86" s="503"/>
      <c r="O86" s="462">
        <f t="shared" ref="O86:O99" si="80">M86+N86</f>
        <v>0</v>
      </c>
      <c r="P86" s="503"/>
      <c r="Q86" s="503"/>
      <c r="R86" s="462">
        <f t="shared" ref="R86:R99" si="81">P86+Q86</f>
        <v>0</v>
      </c>
      <c r="S86" s="503"/>
      <c r="T86" s="503"/>
      <c r="U86" s="462">
        <f t="shared" ref="U86:U91" si="82">S86+T86</f>
        <v>0</v>
      </c>
      <c r="V86" s="503"/>
      <c r="W86" s="503"/>
      <c r="X86" s="469"/>
      <c r="Y86" s="503"/>
      <c r="Z86" s="503"/>
      <c r="AA86" s="469"/>
      <c r="AB86" s="503"/>
      <c r="AC86" s="503"/>
      <c r="AD86" s="469"/>
      <c r="AE86" s="503"/>
      <c r="AF86" s="503"/>
      <c r="AG86" s="469"/>
      <c r="AH86" s="503"/>
      <c r="AI86" s="503"/>
      <c r="AJ86" s="469"/>
      <c r="AK86" s="503"/>
      <c r="AL86" s="503"/>
      <c r="AM86" s="469"/>
      <c r="AN86" s="503"/>
      <c r="AO86" s="503"/>
      <c r="AP86" s="469"/>
      <c r="AQ86" s="470">
        <f t="shared" ref="AQ86:AQ91" si="83">F86+I86+L86+O86+R86+U86</f>
        <v>0</v>
      </c>
      <c r="AR86" s="470">
        <f t="shared" ref="AR86:AR91" si="84">C86-AQ86</f>
        <v>0</v>
      </c>
      <c r="AS86" s="471"/>
    </row>
    <row r="87" spans="1:45" ht="15.75" customHeight="1">
      <c r="A87" s="504" t="s">
        <v>1164</v>
      </c>
      <c r="B87" s="502" t="s">
        <v>1165</v>
      </c>
      <c r="C87" s="476">
        <v>9600</v>
      </c>
      <c r="D87" s="467"/>
      <c r="E87" s="467"/>
      <c r="F87" s="462">
        <f t="shared" si="77"/>
        <v>0</v>
      </c>
      <c r="G87" s="467"/>
      <c r="H87" s="467"/>
      <c r="I87" s="462">
        <f t="shared" si="78"/>
        <v>0</v>
      </c>
      <c r="J87" s="467"/>
      <c r="K87" s="467"/>
      <c r="L87" s="462">
        <f t="shared" si="79"/>
        <v>0</v>
      </c>
      <c r="M87" s="467"/>
      <c r="N87" s="467"/>
      <c r="O87" s="462">
        <f t="shared" si="80"/>
        <v>0</v>
      </c>
      <c r="P87" s="467"/>
      <c r="Q87" s="467"/>
      <c r="R87" s="462">
        <f t="shared" si="81"/>
        <v>0</v>
      </c>
      <c r="S87" s="467"/>
      <c r="T87" s="467"/>
      <c r="U87" s="462">
        <f t="shared" si="82"/>
        <v>0</v>
      </c>
      <c r="V87" s="467"/>
      <c r="W87" s="467"/>
      <c r="X87" s="469"/>
      <c r="Y87" s="467"/>
      <c r="Z87" s="467"/>
      <c r="AA87" s="469"/>
      <c r="AB87" s="467"/>
      <c r="AC87" s="467"/>
      <c r="AD87" s="469"/>
      <c r="AE87" s="467"/>
      <c r="AF87" s="467"/>
      <c r="AG87" s="469"/>
      <c r="AH87" s="467"/>
      <c r="AI87" s="467"/>
      <c r="AJ87" s="469"/>
      <c r="AK87" s="467"/>
      <c r="AL87" s="467"/>
      <c r="AM87" s="469"/>
      <c r="AN87" s="467"/>
      <c r="AO87" s="467"/>
      <c r="AP87" s="469"/>
      <c r="AQ87" s="470">
        <f t="shared" si="83"/>
        <v>0</v>
      </c>
      <c r="AR87" s="470">
        <f t="shared" si="84"/>
        <v>9600</v>
      </c>
      <c r="AS87" s="471">
        <f t="shared" ref="AS87:AS91" si="85">AQ87/C87</f>
        <v>0</v>
      </c>
    </row>
    <row r="88" spans="1:45" ht="15.75" customHeight="1">
      <c r="A88" s="504" t="s">
        <v>861</v>
      </c>
      <c r="B88" s="505" t="s">
        <v>863</v>
      </c>
      <c r="C88" s="476">
        <v>7000</v>
      </c>
      <c r="D88" s="480"/>
      <c r="E88" s="480"/>
      <c r="F88" s="462">
        <f t="shared" si="77"/>
        <v>0</v>
      </c>
      <c r="G88" s="480"/>
      <c r="H88" s="480"/>
      <c r="I88" s="462">
        <f t="shared" si="78"/>
        <v>0</v>
      </c>
      <c r="J88" s="480"/>
      <c r="K88" s="480"/>
      <c r="L88" s="462">
        <f t="shared" si="79"/>
        <v>0</v>
      </c>
      <c r="M88" s="480"/>
      <c r="N88" s="480"/>
      <c r="O88" s="462">
        <f t="shared" si="80"/>
        <v>0</v>
      </c>
      <c r="P88" s="480"/>
      <c r="Q88" s="480"/>
      <c r="R88" s="462">
        <f t="shared" si="81"/>
        <v>0</v>
      </c>
      <c r="S88" s="480"/>
      <c r="T88" s="480"/>
      <c r="U88" s="462">
        <f t="shared" si="82"/>
        <v>0</v>
      </c>
      <c r="V88" s="480"/>
      <c r="W88" s="480"/>
      <c r="X88" s="469"/>
      <c r="Y88" s="480"/>
      <c r="Z88" s="480"/>
      <c r="AA88" s="469"/>
      <c r="AB88" s="480"/>
      <c r="AC88" s="480"/>
      <c r="AD88" s="469"/>
      <c r="AE88" s="480"/>
      <c r="AF88" s="480"/>
      <c r="AG88" s="469"/>
      <c r="AH88" s="480"/>
      <c r="AI88" s="480"/>
      <c r="AJ88" s="469"/>
      <c r="AK88" s="480"/>
      <c r="AL88" s="480"/>
      <c r="AM88" s="469"/>
      <c r="AN88" s="480"/>
      <c r="AO88" s="480"/>
      <c r="AP88" s="469"/>
      <c r="AQ88" s="470">
        <f t="shared" si="83"/>
        <v>0</v>
      </c>
      <c r="AR88" s="470">
        <f t="shared" si="84"/>
        <v>7000</v>
      </c>
      <c r="AS88" s="471">
        <f t="shared" si="85"/>
        <v>0</v>
      </c>
    </row>
    <row r="89" spans="1:45" ht="15.75" customHeight="1">
      <c r="A89" s="504" t="s">
        <v>864</v>
      </c>
      <c r="B89" s="505" t="s">
        <v>1166</v>
      </c>
      <c r="C89" s="476">
        <v>15000</v>
      </c>
      <c r="D89" s="480"/>
      <c r="E89" s="480"/>
      <c r="F89" s="462">
        <f t="shared" si="77"/>
        <v>0</v>
      </c>
      <c r="G89" s="480"/>
      <c r="H89" s="480"/>
      <c r="I89" s="462">
        <f t="shared" si="78"/>
        <v>0</v>
      </c>
      <c r="J89" s="480"/>
      <c r="K89" s="480"/>
      <c r="L89" s="462">
        <f t="shared" si="79"/>
        <v>0</v>
      </c>
      <c r="M89" s="480"/>
      <c r="N89" s="480"/>
      <c r="O89" s="462">
        <f t="shared" si="80"/>
        <v>0</v>
      </c>
      <c r="P89" s="480"/>
      <c r="Q89" s="480"/>
      <c r="R89" s="462">
        <f t="shared" si="81"/>
        <v>0</v>
      </c>
      <c r="S89" s="480"/>
      <c r="T89" s="480"/>
      <c r="U89" s="462">
        <f t="shared" si="82"/>
        <v>0</v>
      </c>
      <c r="V89" s="480"/>
      <c r="W89" s="480"/>
      <c r="X89" s="469"/>
      <c r="Y89" s="480"/>
      <c r="Z89" s="480"/>
      <c r="AA89" s="469"/>
      <c r="AB89" s="480"/>
      <c r="AC89" s="480"/>
      <c r="AD89" s="469"/>
      <c r="AE89" s="480"/>
      <c r="AF89" s="480"/>
      <c r="AG89" s="469"/>
      <c r="AH89" s="480"/>
      <c r="AI89" s="480"/>
      <c r="AJ89" s="469"/>
      <c r="AK89" s="480"/>
      <c r="AL89" s="480"/>
      <c r="AM89" s="469"/>
      <c r="AN89" s="480"/>
      <c r="AO89" s="480"/>
      <c r="AP89" s="469"/>
      <c r="AQ89" s="470">
        <f t="shared" si="83"/>
        <v>0</v>
      </c>
      <c r="AR89" s="470">
        <f t="shared" si="84"/>
        <v>15000</v>
      </c>
      <c r="AS89" s="471">
        <f t="shared" si="85"/>
        <v>0</v>
      </c>
    </row>
    <row r="90" spans="1:45" ht="15.75" customHeight="1">
      <c r="A90" s="504" t="s">
        <v>1167</v>
      </c>
      <c r="B90" s="505" t="s">
        <v>1168</v>
      </c>
      <c r="C90" s="476">
        <v>22000</v>
      </c>
      <c r="D90" s="480"/>
      <c r="E90" s="480"/>
      <c r="F90" s="462">
        <f t="shared" si="77"/>
        <v>0</v>
      </c>
      <c r="G90" s="480">
        <f>'Bank XOF'!G106/655.957</f>
        <v>0</v>
      </c>
      <c r="H90" s="480"/>
      <c r="I90" s="462">
        <f t="shared" si="78"/>
        <v>0</v>
      </c>
      <c r="J90" s="480"/>
      <c r="K90" s="480"/>
      <c r="L90" s="462">
        <f t="shared" si="79"/>
        <v>0</v>
      </c>
      <c r="M90" s="480"/>
      <c r="N90" s="480"/>
      <c r="O90" s="462">
        <f t="shared" si="80"/>
        <v>0</v>
      </c>
      <c r="P90" s="480"/>
      <c r="Q90" s="480">
        <f>939</f>
        <v>939</v>
      </c>
      <c r="R90" s="462">
        <f t="shared" si="81"/>
        <v>939</v>
      </c>
      <c r="S90" s="480" t="e">
        <f>'Bank XOF'!#REF!/655.957</f>
        <v>#REF!</v>
      </c>
      <c r="T90" s="480"/>
      <c r="U90" s="462" t="e">
        <f t="shared" si="82"/>
        <v>#REF!</v>
      </c>
      <c r="V90" s="480"/>
      <c r="W90" s="480"/>
      <c r="X90" s="469"/>
      <c r="Y90" s="480"/>
      <c r="Z90" s="480"/>
      <c r="AA90" s="469"/>
      <c r="AB90" s="480"/>
      <c r="AC90" s="480"/>
      <c r="AD90" s="469"/>
      <c r="AE90" s="480"/>
      <c r="AF90" s="480"/>
      <c r="AG90" s="469"/>
      <c r="AH90" s="480"/>
      <c r="AI90" s="480"/>
      <c r="AJ90" s="469"/>
      <c r="AK90" s="480"/>
      <c r="AL90" s="480"/>
      <c r="AM90" s="469"/>
      <c r="AN90" s="480"/>
      <c r="AO90" s="480"/>
      <c r="AP90" s="469"/>
      <c r="AQ90" s="470" t="e">
        <f t="shared" si="83"/>
        <v>#REF!</v>
      </c>
      <c r="AR90" s="470" t="e">
        <f t="shared" si="84"/>
        <v>#REF!</v>
      </c>
      <c r="AS90" s="471" t="e">
        <f t="shared" si="85"/>
        <v>#REF!</v>
      </c>
    </row>
    <row r="91" spans="1:45" ht="15.75" customHeight="1">
      <c r="A91" s="504" t="s">
        <v>1169</v>
      </c>
      <c r="B91" s="505" t="s">
        <v>847</v>
      </c>
      <c r="C91" s="476">
        <v>1000</v>
      </c>
      <c r="D91" s="480">
        <f>'Bank CFA2014'!F42</f>
        <v>76.224508618705187</v>
      </c>
      <c r="E91" s="480">
        <f>'Bank € 14 '!G15+'Bank € 14 '!G16</f>
        <v>10.89</v>
      </c>
      <c r="F91" s="462">
        <f t="shared" si="77"/>
        <v>87.114508618705187</v>
      </c>
      <c r="G91" s="480" t="e">
        <f>('Bank XOF'!#REF!+'Bank XOF'!#REF!)/655.957</f>
        <v>#REF!</v>
      </c>
      <c r="H91" s="480" t="e">
        <f>#REF!+#REF!+#REF!+#REF!+#REF!</f>
        <v>#REF!</v>
      </c>
      <c r="I91" s="462" t="e">
        <f t="shared" si="78"/>
        <v>#REF!</v>
      </c>
      <c r="J91" s="480" t="e">
        <f>('Bank XOF'!#REF!+'Bank XOF'!#REF!)/655.957</f>
        <v>#REF!</v>
      </c>
      <c r="K91" s="480"/>
      <c r="L91" s="462" t="e">
        <f t="shared" si="79"/>
        <v>#REF!</v>
      </c>
      <c r="M91" s="480" t="e">
        <f>('Bank XOF'!#REF!+'Bank XOF'!#REF!+'Bank XOF'!#REF!+'Bank XOF'!#REF!)/655.957</f>
        <v>#REF!</v>
      </c>
      <c r="N91" s="480"/>
      <c r="O91" s="462" t="e">
        <f t="shared" si="80"/>
        <v>#REF!</v>
      </c>
      <c r="P91" s="480" t="e">
        <f>'Bank XOF'!#REF!/655.957+'Bank XOF'!#REF!/655.957</f>
        <v>#REF!</v>
      </c>
      <c r="Q91" s="480"/>
      <c r="R91" s="462" t="e">
        <f t="shared" si="81"/>
        <v>#REF!</v>
      </c>
      <c r="S91" s="480" t="e">
        <f>('Bank XOF'!#REF!+'Bank XOF'!#REF!+'Bank XOF'!#REF!+'Bank XOF'!#REF!+'Bank XOF'!#REF!+'Bank XOF'!#REF!+'Bank XOF'!#REF!+'Bank XOF'!#REF!+'Bank XOF'!#REF!)/655.957</f>
        <v>#REF!</v>
      </c>
      <c r="T91" s="480" t="e">
        <f>#REF!+#REF!+#REF!</f>
        <v>#REF!</v>
      </c>
      <c r="U91" s="462" t="e">
        <f t="shared" si="82"/>
        <v>#REF!</v>
      </c>
      <c r="V91" s="480"/>
      <c r="W91" s="480"/>
      <c r="X91" s="469"/>
      <c r="Y91" s="480"/>
      <c r="Z91" s="480"/>
      <c r="AA91" s="469"/>
      <c r="AB91" s="480"/>
      <c r="AC91" s="480"/>
      <c r="AD91" s="469"/>
      <c r="AE91" s="480"/>
      <c r="AF91" s="480"/>
      <c r="AG91" s="469"/>
      <c r="AH91" s="480"/>
      <c r="AI91" s="480"/>
      <c r="AJ91" s="469"/>
      <c r="AK91" s="480"/>
      <c r="AL91" s="480"/>
      <c r="AM91" s="469"/>
      <c r="AN91" s="480"/>
      <c r="AO91" s="480"/>
      <c r="AP91" s="469"/>
      <c r="AQ91" s="470" t="e">
        <f t="shared" si="83"/>
        <v>#REF!</v>
      </c>
      <c r="AR91" s="470" t="e">
        <f t="shared" si="84"/>
        <v>#REF!</v>
      </c>
      <c r="AS91" s="471" t="e">
        <f t="shared" si="85"/>
        <v>#REF!</v>
      </c>
    </row>
    <row r="92" spans="1:45" ht="15.75" customHeight="1">
      <c r="A92" s="504" t="s">
        <v>1170</v>
      </c>
      <c r="B92" s="505" t="s">
        <v>1171</v>
      </c>
      <c r="C92" s="476"/>
      <c r="D92" s="480"/>
      <c r="E92" s="480"/>
      <c r="F92" s="462">
        <f t="shared" si="77"/>
        <v>0</v>
      </c>
      <c r="G92" s="480"/>
      <c r="H92" s="480"/>
      <c r="I92" s="462">
        <f t="shared" si="78"/>
        <v>0</v>
      </c>
      <c r="J92" s="480"/>
      <c r="K92" s="480"/>
      <c r="L92" s="462">
        <f t="shared" si="79"/>
        <v>0</v>
      </c>
      <c r="M92" s="480"/>
      <c r="N92" s="480"/>
      <c r="O92" s="462">
        <f t="shared" si="80"/>
        <v>0</v>
      </c>
      <c r="P92" s="480"/>
      <c r="Q92" s="480"/>
      <c r="R92" s="462">
        <f t="shared" si="81"/>
        <v>0</v>
      </c>
      <c r="S92" s="480"/>
      <c r="T92" s="480"/>
      <c r="U92" s="462"/>
      <c r="V92" s="480"/>
      <c r="W92" s="480"/>
      <c r="X92" s="469"/>
      <c r="Y92" s="480"/>
      <c r="Z92" s="480"/>
      <c r="AA92" s="469"/>
      <c r="AB92" s="480"/>
      <c r="AC92" s="480"/>
      <c r="AD92" s="469"/>
      <c r="AE92" s="480"/>
      <c r="AF92" s="480"/>
      <c r="AG92" s="469"/>
      <c r="AH92" s="480"/>
      <c r="AI92" s="480"/>
      <c r="AJ92" s="469"/>
      <c r="AK92" s="480"/>
      <c r="AL92" s="480"/>
      <c r="AM92" s="469"/>
      <c r="AN92" s="480"/>
      <c r="AO92" s="480"/>
      <c r="AP92" s="469"/>
      <c r="AQ92" s="470"/>
      <c r="AR92" s="470"/>
      <c r="AS92" s="471"/>
    </row>
    <row r="93" spans="1:45" ht="15.75" customHeight="1">
      <c r="A93" s="474" t="s">
        <v>1133</v>
      </c>
      <c r="B93" s="433" t="s">
        <v>1171</v>
      </c>
      <c r="C93" s="476">
        <v>5000</v>
      </c>
      <c r="D93" s="477"/>
      <c r="E93" s="477"/>
      <c r="F93" s="462">
        <f t="shared" si="77"/>
        <v>0</v>
      </c>
      <c r="G93" s="477"/>
      <c r="H93" s="477"/>
      <c r="I93" s="462">
        <f t="shared" si="78"/>
        <v>0</v>
      </c>
      <c r="J93" s="477"/>
      <c r="K93" s="477"/>
      <c r="L93" s="462">
        <f t="shared" si="79"/>
        <v>0</v>
      </c>
      <c r="M93" s="477"/>
      <c r="N93" s="477"/>
      <c r="O93" s="462">
        <f t="shared" si="80"/>
        <v>0</v>
      </c>
      <c r="P93" s="477"/>
      <c r="Q93" s="477"/>
      <c r="R93" s="462">
        <f t="shared" si="81"/>
        <v>0</v>
      </c>
      <c r="S93" s="477"/>
      <c r="T93" s="477"/>
      <c r="U93" s="462">
        <f t="shared" ref="U93:U99" si="86">S93+T93</f>
        <v>0</v>
      </c>
      <c r="V93" s="477"/>
      <c r="W93" s="477"/>
      <c r="X93" s="469"/>
      <c r="Y93" s="477"/>
      <c r="Z93" s="477"/>
      <c r="AA93" s="469"/>
      <c r="AB93" s="477"/>
      <c r="AC93" s="477"/>
      <c r="AD93" s="469"/>
      <c r="AE93" s="477"/>
      <c r="AF93" s="477"/>
      <c r="AG93" s="469"/>
      <c r="AH93" s="477"/>
      <c r="AI93" s="477"/>
      <c r="AJ93" s="469"/>
      <c r="AK93" s="477"/>
      <c r="AL93" s="477"/>
      <c r="AM93" s="469"/>
      <c r="AN93" s="477"/>
      <c r="AO93" s="477"/>
      <c r="AP93" s="469"/>
      <c r="AQ93" s="470">
        <f t="shared" ref="AQ93:AQ100" si="87">F93+I93+L93+O93+R93+U93</f>
        <v>0</v>
      </c>
      <c r="AR93" s="470">
        <f t="shared" ref="AR93:AR100" si="88">C93-AQ93</f>
        <v>5000</v>
      </c>
      <c r="AS93" s="471">
        <f t="shared" ref="AS93:AS100" si="89">AQ93/C93</f>
        <v>0</v>
      </c>
    </row>
    <row r="94" spans="1:45" ht="15.75" hidden="1" customHeight="1">
      <c r="A94" s="474" t="s">
        <v>1172</v>
      </c>
      <c r="B94" s="506" t="s">
        <v>1171</v>
      </c>
      <c r="C94" s="476">
        <v>0</v>
      </c>
      <c r="D94" s="477"/>
      <c r="E94" s="477"/>
      <c r="F94" s="462">
        <f t="shared" si="77"/>
        <v>0</v>
      </c>
      <c r="G94" s="477"/>
      <c r="H94" s="477"/>
      <c r="I94" s="462">
        <f t="shared" si="78"/>
        <v>0</v>
      </c>
      <c r="J94" s="477"/>
      <c r="K94" s="477"/>
      <c r="L94" s="462">
        <f t="shared" si="79"/>
        <v>0</v>
      </c>
      <c r="M94" s="477"/>
      <c r="N94" s="477"/>
      <c r="O94" s="462">
        <f t="shared" si="80"/>
        <v>0</v>
      </c>
      <c r="P94" s="477"/>
      <c r="Q94" s="477"/>
      <c r="R94" s="462">
        <f t="shared" si="81"/>
        <v>0</v>
      </c>
      <c r="S94" s="477"/>
      <c r="T94" s="477"/>
      <c r="U94" s="462">
        <f t="shared" si="86"/>
        <v>0</v>
      </c>
      <c r="V94" s="477"/>
      <c r="W94" s="477"/>
      <c r="X94" s="469"/>
      <c r="Y94" s="477"/>
      <c r="Z94" s="477"/>
      <c r="AA94" s="469"/>
      <c r="AB94" s="477"/>
      <c r="AC94" s="477"/>
      <c r="AD94" s="469"/>
      <c r="AE94" s="477"/>
      <c r="AF94" s="477"/>
      <c r="AG94" s="469"/>
      <c r="AH94" s="477"/>
      <c r="AI94" s="477"/>
      <c r="AJ94" s="469"/>
      <c r="AK94" s="477"/>
      <c r="AL94" s="477"/>
      <c r="AM94" s="469"/>
      <c r="AN94" s="477"/>
      <c r="AO94" s="477"/>
      <c r="AP94" s="469"/>
      <c r="AQ94" s="470">
        <f t="shared" si="87"/>
        <v>0</v>
      </c>
      <c r="AR94" s="470">
        <f t="shared" si="88"/>
        <v>0</v>
      </c>
      <c r="AS94" s="471" t="e">
        <f t="shared" si="89"/>
        <v>#DIV/0!</v>
      </c>
    </row>
    <row r="95" spans="1:45" ht="15.75" hidden="1" customHeight="1">
      <c r="A95" s="474" t="s">
        <v>1173</v>
      </c>
      <c r="B95" s="506" t="s">
        <v>1171</v>
      </c>
      <c r="C95" s="476">
        <v>0</v>
      </c>
      <c r="D95" s="477"/>
      <c r="E95" s="477"/>
      <c r="F95" s="462">
        <f t="shared" si="77"/>
        <v>0</v>
      </c>
      <c r="G95" s="477"/>
      <c r="H95" s="477"/>
      <c r="I95" s="462">
        <f t="shared" si="78"/>
        <v>0</v>
      </c>
      <c r="J95" s="477"/>
      <c r="K95" s="477"/>
      <c r="L95" s="462">
        <f t="shared" si="79"/>
        <v>0</v>
      </c>
      <c r="M95" s="477"/>
      <c r="N95" s="477"/>
      <c r="O95" s="462">
        <f t="shared" si="80"/>
        <v>0</v>
      </c>
      <c r="P95" s="477"/>
      <c r="Q95" s="477"/>
      <c r="R95" s="462">
        <f t="shared" si="81"/>
        <v>0</v>
      </c>
      <c r="S95" s="477"/>
      <c r="T95" s="477"/>
      <c r="U95" s="462">
        <f t="shared" si="86"/>
        <v>0</v>
      </c>
      <c r="V95" s="477"/>
      <c r="W95" s="477"/>
      <c r="X95" s="469"/>
      <c r="Y95" s="477"/>
      <c r="Z95" s="477"/>
      <c r="AA95" s="469"/>
      <c r="AB95" s="477"/>
      <c r="AC95" s="477"/>
      <c r="AD95" s="469"/>
      <c r="AE95" s="477"/>
      <c r="AF95" s="477"/>
      <c r="AG95" s="469"/>
      <c r="AH95" s="477"/>
      <c r="AI95" s="477"/>
      <c r="AJ95" s="469"/>
      <c r="AK95" s="477"/>
      <c r="AL95" s="477"/>
      <c r="AM95" s="469"/>
      <c r="AN95" s="477"/>
      <c r="AO95" s="477"/>
      <c r="AP95" s="469"/>
      <c r="AQ95" s="470">
        <f t="shared" si="87"/>
        <v>0</v>
      </c>
      <c r="AR95" s="470">
        <f t="shared" si="88"/>
        <v>0</v>
      </c>
      <c r="AS95" s="471" t="e">
        <f t="shared" si="89"/>
        <v>#DIV/0!</v>
      </c>
    </row>
    <row r="96" spans="1:45" ht="15.75" hidden="1" customHeight="1">
      <c r="A96" s="474" t="s">
        <v>1174</v>
      </c>
      <c r="B96" s="506" t="s">
        <v>1171</v>
      </c>
      <c r="C96" s="476">
        <v>0</v>
      </c>
      <c r="D96" s="477"/>
      <c r="E96" s="477"/>
      <c r="F96" s="462">
        <f t="shared" si="77"/>
        <v>0</v>
      </c>
      <c r="G96" s="477"/>
      <c r="H96" s="477"/>
      <c r="I96" s="462">
        <f t="shared" si="78"/>
        <v>0</v>
      </c>
      <c r="J96" s="477"/>
      <c r="K96" s="477"/>
      <c r="L96" s="462">
        <f t="shared" si="79"/>
        <v>0</v>
      </c>
      <c r="M96" s="477"/>
      <c r="N96" s="477"/>
      <c r="O96" s="462">
        <f t="shared" si="80"/>
        <v>0</v>
      </c>
      <c r="P96" s="477"/>
      <c r="Q96" s="477"/>
      <c r="R96" s="462">
        <f t="shared" si="81"/>
        <v>0</v>
      </c>
      <c r="S96" s="477"/>
      <c r="T96" s="477"/>
      <c r="U96" s="462">
        <f t="shared" si="86"/>
        <v>0</v>
      </c>
      <c r="V96" s="477"/>
      <c r="W96" s="477"/>
      <c r="X96" s="469"/>
      <c r="Y96" s="477"/>
      <c r="Z96" s="477"/>
      <c r="AA96" s="469"/>
      <c r="AB96" s="477"/>
      <c r="AC96" s="477"/>
      <c r="AD96" s="469"/>
      <c r="AE96" s="477"/>
      <c r="AF96" s="477"/>
      <c r="AG96" s="469"/>
      <c r="AH96" s="477"/>
      <c r="AI96" s="477"/>
      <c r="AJ96" s="469"/>
      <c r="AK96" s="477"/>
      <c r="AL96" s="477"/>
      <c r="AM96" s="469"/>
      <c r="AN96" s="477"/>
      <c r="AO96" s="477"/>
      <c r="AP96" s="469"/>
      <c r="AQ96" s="470">
        <f t="shared" si="87"/>
        <v>0</v>
      </c>
      <c r="AR96" s="470">
        <f t="shared" si="88"/>
        <v>0</v>
      </c>
      <c r="AS96" s="471" t="e">
        <f t="shared" si="89"/>
        <v>#DIV/0!</v>
      </c>
    </row>
    <row r="97" spans="1:45" ht="15.75" hidden="1" customHeight="1">
      <c r="A97" s="474" t="s">
        <v>1175</v>
      </c>
      <c r="B97" s="506" t="s">
        <v>1171</v>
      </c>
      <c r="C97" s="476">
        <v>0</v>
      </c>
      <c r="D97" s="477"/>
      <c r="E97" s="477"/>
      <c r="F97" s="462">
        <f t="shared" si="77"/>
        <v>0</v>
      </c>
      <c r="G97" s="477"/>
      <c r="H97" s="477"/>
      <c r="I97" s="462">
        <f t="shared" si="78"/>
        <v>0</v>
      </c>
      <c r="J97" s="477"/>
      <c r="K97" s="477"/>
      <c r="L97" s="462">
        <f t="shared" si="79"/>
        <v>0</v>
      </c>
      <c r="M97" s="477"/>
      <c r="N97" s="477"/>
      <c r="O97" s="462">
        <f t="shared" si="80"/>
        <v>0</v>
      </c>
      <c r="P97" s="477"/>
      <c r="Q97" s="477"/>
      <c r="R97" s="462">
        <f t="shared" si="81"/>
        <v>0</v>
      </c>
      <c r="S97" s="477"/>
      <c r="T97" s="477"/>
      <c r="U97" s="462">
        <f t="shared" si="86"/>
        <v>0</v>
      </c>
      <c r="V97" s="477"/>
      <c r="W97" s="477"/>
      <c r="X97" s="469"/>
      <c r="Y97" s="477"/>
      <c r="Z97" s="477"/>
      <c r="AA97" s="469"/>
      <c r="AB97" s="477"/>
      <c r="AC97" s="477"/>
      <c r="AD97" s="469"/>
      <c r="AE97" s="477"/>
      <c r="AF97" s="477"/>
      <c r="AG97" s="469"/>
      <c r="AH97" s="477"/>
      <c r="AI97" s="477"/>
      <c r="AJ97" s="469"/>
      <c r="AK97" s="477"/>
      <c r="AL97" s="477"/>
      <c r="AM97" s="469"/>
      <c r="AN97" s="477"/>
      <c r="AO97" s="477"/>
      <c r="AP97" s="469"/>
      <c r="AQ97" s="470">
        <f t="shared" si="87"/>
        <v>0</v>
      </c>
      <c r="AR97" s="470">
        <f t="shared" si="88"/>
        <v>0</v>
      </c>
      <c r="AS97" s="471" t="e">
        <f t="shared" si="89"/>
        <v>#DIV/0!</v>
      </c>
    </row>
    <row r="98" spans="1:45" ht="15.75" customHeight="1">
      <c r="A98" s="474" t="s">
        <v>1139</v>
      </c>
      <c r="B98" s="506" t="s">
        <v>1171</v>
      </c>
      <c r="C98" s="476">
        <v>5000</v>
      </c>
      <c r="D98" s="477" t="e">
        <f>'Bank CFA2014'!#REF!</f>
        <v>#REF!</v>
      </c>
      <c r="E98" s="477">
        <v>30</v>
      </c>
      <c r="F98" s="462" t="e">
        <f t="shared" si="77"/>
        <v>#REF!</v>
      </c>
      <c r="G98" s="477"/>
      <c r="H98" s="477"/>
      <c r="I98" s="462">
        <f t="shared" si="78"/>
        <v>0</v>
      </c>
      <c r="J98" s="477"/>
      <c r="K98" s="477"/>
      <c r="L98" s="462">
        <f t="shared" si="79"/>
        <v>0</v>
      </c>
      <c r="M98" s="477"/>
      <c r="N98" s="477"/>
      <c r="O98" s="462">
        <f t="shared" si="80"/>
        <v>0</v>
      </c>
      <c r="P98" s="477"/>
      <c r="Q98" s="477">
        <f>1801-939</f>
        <v>862</v>
      </c>
      <c r="R98" s="462">
        <f t="shared" si="81"/>
        <v>862</v>
      </c>
      <c r="S98" s="477"/>
      <c r="T98" s="477"/>
      <c r="U98" s="462">
        <f t="shared" si="86"/>
        <v>0</v>
      </c>
      <c r="V98" s="477"/>
      <c r="W98" s="477"/>
      <c r="X98" s="469"/>
      <c r="Y98" s="477"/>
      <c r="Z98" s="477"/>
      <c r="AA98" s="469"/>
      <c r="AB98" s="477"/>
      <c r="AC98" s="477"/>
      <c r="AD98" s="469"/>
      <c r="AE98" s="477"/>
      <c r="AF98" s="477"/>
      <c r="AG98" s="469"/>
      <c r="AH98" s="477"/>
      <c r="AI98" s="477"/>
      <c r="AJ98" s="469"/>
      <c r="AK98" s="477"/>
      <c r="AL98" s="477"/>
      <c r="AM98" s="469"/>
      <c r="AN98" s="477"/>
      <c r="AO98" s="477"/>
      <c r="AP98" s="469"/>
      <c r="AQ98" s="470" t="e">
        <f t="shared" si="87"/>
        <v>#REF!</v>
      </c>
      <c r="AR98" s="470" t="e">
        <f t="shared" si="88"/>
        <v>#REF!</v>
      </c>
      <c r="AS98" s="471" t="e">
        <f t="shared" si="89"/>
        <v>#REF!</v>
      </c>
    </row>
    <row r="99" spans="1:45" ht="15.75" customHeight="1">
      <c r="A99" s="464" t="s">
        <v>1176</v>
      </c>
      <c r="B99" s="507"/>
      <c r="C99" s="466">
        <v>20000</v>
      </c>
      <c r="D99" s="467"/>
      <c r="E99" s="467"/>
      <c r="F99" s="500">
        <f t="shared" si="77"/>
        <v>0</v>
      </c>
      <c r="G99" s="467"/>
      <c r="H99" s="467"/>
      <c r="I99" s="500">
        <f t="shared" si="78"/>
        <v>0</v>
      </c>
      <c r="J99" s="467"/>
      <c r="K99" s="467"/>
      <c r="L99" s="500">
        <f t="shared" si="79"/>
        <v>0</v>
      </c>
      <c r="M99" s="467"/>
      <c r="N99" s="467"/>
      <c r="O99" s="500">
        <f t="shared" si="80"/>
        <v>0</v>
      </c>
      <c r="P99" s="467" t="e">
        <f>'Bank XOF'!#REF!/655.957+'Bank XOF'!#REF!/655.957+'Bank XOF'!#REF!/655.957+'Bank XOF'!#REF!/655.957</f>
        <v>#REF!</v>
      </c>
      <c r="Q99" s="467"/>
      <c r="R99" s="500" t="e">
        <f t="shared" si="81"/>
        <v>#REF!</v>
      </c>
      <c r="S99" s="467"/>
      <c r="T99" s="467"/>
      <c r="U99" s="500">
        <f t="shared" si="86"/>
        <v>0</v>
      </c>
      <c r="V99" s="467"/>
      <c r="W99" s="467"/>
      <c r="X99" s="468"/>
      <c r="Y99" s="467"/>
      <c r="Z99" s="467"/>
      <c r="AA99" s="469"/>
      <c r="AB99" s="467"/>
      <c r="AC99" s="467"/>
      <c r="AD99" s="469"/>
      <c r="AE99" s="467"/>
      <c r="AF99" s="467"/>
      <c r="AG99" s="469"/>
      <c r="AH99" s="467"/>
      <c r="AI99" s="467"/>
      <c r="AJ99" s="469"/>
      <c r="AK99" s="467"/>
      <c r="AL99" s="467"/>
      <c r="AM99" s="469"/>
      <c r="AN99" s="467"/>
      <c r="AO99" s="467"/>
      <c r="AP99" s="469"/>
      <c r="AQ99" s="486" t="e">
        <f t="shared" si="87"/>
        <v>#REF!</v>
      </c>
      <c r="AR99" s="486" t="e">
        <f t="shared" si="88"/>
        <v>#REF!</v>
      </c>
      <c r="AS99" s="487" t="e">
        <f t="shared" si="89"/>
        <v>#REF!</v>
      </c>
    </row>
    <row r="100" spans="1:45" ht="15.75" customHeight="1">
      <c r="A100" s="488" t="s">
        <v>910</v>
      </c>
      <c r="B100" s="489"/>
      <c r="C100" s="490">
        <f t="shared" ref="C100:U100" si="90">SUM(C85:C99)</f>
        <v>84600</v>
      </c>
      <c r="D100" s="491" t="e">
        <f t="shared" si="90"/>
        <v>#REF!</v>
      </c>
      <c r="E100" s="491">
        <f t="shared" si="90"/>
        <v>40.89</v>
      </c>
      <c r="F100" s="491" t="e">
        <f t="shared" si="90"/>
        <v>#REF!</v>
      </c>
      <c r="G100" s="491" t="e">
        <f t="shared" si="90"/>
        <v>#REF!</v>
      </c>
      <c r="H100" s="491" t="e">
        <f t="shared" si="90"/>
        <v>#REF!</v>
      </c>
      <c r="I100" s="491" t="e">
        <f t="shared" si="90"/>
        <v>#REF!</v>
      </c>
      <c r="J100" s="491" t="e">
        <f t="shared" si="90"/>
        <v>#REF!</v>
      </c>
      <c r="K100" s="491">
        <f t="shared" si="90"/>
        <v>0</v>
      </c>
      <c r="L100" s="491" t="e">
        <f t="shared" si="90"/>
        <v>#REF!</v>
      </c>
      <c r="M100" s="491" t="e">
        <f t="shared" si="90"/>
        <v>#REF!</v>
      </c>
      <c r="N100" s="491">
        <f t="shared" si="90"/>
        <v>0</v>
      </c>
      <c r="O100" s="491" t="e">
        <f t="shared" si="90"/>
        <v>#REF!</v>
      </c>
      <c r="P100" s="491" t="e">
        <f t="shared" si="90"/>
        <v>#REF!</v>
      </c>
      <c r="Q100" s="491">
        <f t="shared" si="90"/>
        <v>1801</v>
      </c>
      <c r="R100" s="491" t="e">
        <f t="shared" si="90"/>
        <v>#REF!</v>
      </c>
      <c r="S100" s="491" t="e">
        <f t="shared" si="90"/>
        <v>#REF!</v>
      </c>
      <c r="T100" s="491" t="e">
        <f t="shared" si="90"/>
        <v>#REF!</v>
      </c>
      <c r="U100" s="491" t="e">
        <f t="shared" si="90"/>
        <v>#REF!</v>
      </c>
      <c r="V100" s="491"/>
      <c r="W100" s="492"/>
      <c r="X100" s="493"/>
      <c r="Y100" s="491"/>
      <c r="Z100" s="492"/>
      <c r="AA100" s="493"/>
      <c r="AB100" s="491"/>
      <c r="AC100" s="492"/>
      <c r="AD100" s="493"/>
      <c r="AE100" s="491"/>
      <c r="AF100" s="492"/>
      <c r="AG100" s="493"/>
      <c r="AH100" s="491"/>
      <c r="AI100" s="492"/>
      <c r="AJ100" s="493"/>
      <c r="AK100" s="491"/>
      <c r="AL100" s="492"/>
      <c r="AM100" s="493"/>
      <c r="AN100" s="491"/>
      <c r="AO100" s="492"/>
      <c r="AP100" s="493"/>
      <c r="AQ100" s="494" t="e">
        <f t="shared" si="87"/>
        <v>#REF!</v>
      </c>
      <c r="AR100" s="494" t="e">
        <f t="shared" si="88"/>
        <v>#REF!</v>
      </c>
      <c r="AS100" s="495" t="e">
        <f t="shared" si="89"/>
        <v>#REF!</v>
      </c>
    </row>
    <row r="101" spans="1:45" ht="15.75" customHeight="1">
      <c r="A101" s="496" t="s">
        <v>878</v>
      </c>
      <c r="B101" s="508"/>
      <c r="C101" s="466"/>
      <c r="D101" s="467"/>
      <c r="E101" s="467"/>
      <c r="F101" s="461"/>
      <c r="G101" s="467"/>
      <c r="H101" s="467"/>
      <c r="I101" s="461"/>
      <c r="J101" s="467"/>
      <c r="K101" s="467"/>
      <c r="L101" s="462"/>
      <c r="M101" s="467"/>
      <c r="N101" s="467"/>
      <c r="O101" s="462"/>
      <c r="P101" s="467"/>
      <c r="Q101" s="467"/>
      <c r="R101" s="462"/>
      <c r="S101" s="467"/>
      <c r="T101" s="467"/>
      <c r="U101" s="462"/>
      <c r="V101" s="467"/>
      <c r="W101" s="467"/>
      <c r="X101" s="468"/>
      <c r="Y101" s="467"/>
      <c r="Z101" s="467"/>
      <c r="AA101" s="469"/>
      <c r="AB101" s="467"/>
      <c r="AC101" s="467"/>
      <c r="AD101" s="469"/>
      <c r="AE101" s="467"/>
      <c r="AF101" s="467"/>
      <c r="AG101" s="469"/>
      <c r="AH101" s="467"/>
      <c r="AI101" s="467"/>
      <c r="AJ101" s="469"/>
      <c r="AK101" s="467"/>
      <c r="AL101" s="467"/>
      <c r="AM101" s="469"/>
      <c r="AN101" s="467"/>
      <c r="AO101" s="467"/>
      <c r="AP101" s="469"/>
      <c r="AQ101" s="470"/>
      <c r="AR101" s="470"/>
      <c r="AS101" s="471"/>
    </row>
    <row r="102" spans="1:45" ht="15.75" customHeight="1">
      <c r="A102" s="474" t="s">
        <v>1177</v>
      </c>
      <c r="B102" s="509" t="s">
        <v>1178</v>
      </c>
      <c r="C102" s="476">
        <v>24000</v>
      </c>
      <c r="D102" s="477"/>
      <c r="E102" s="477"/>
      <c r="F102" s="462">
        <f t="shared" ref="F102:F104" si="91">D102+E102</f>
        <v>0</v>
      </c>
      <c r="G102" s="477"/>
      <c r="H102" s="477"/>
      <c r="I102" s="462">
        <f t="shared" ref="I102:I104" si="92">G102+H102</f>
        <v>0</v>
      </c>
      <c r="J102" s="477"/>
      <c r="K102" s="477"/>
      <c r="L102" s="462">
        <f t="shared" ref="L102:L104" si="93">J102+K102</f>
        <v>0</v>
      </c>
      <c r="M102" s="477" t="e">
        <f>'Bank XOF'!#REF!/655.957+'Bank XOF'!#REF!/655.957+'Bank XOF'!#REF!/655.957</f>
        <v>#REF!</v>
      </c>
      <c r="N102" s="477"/>
      <c r="O102" s="462" t="e">
        <f t="shared" ref="O102:O104" si="94">M102+N102</f>
        <v>#REF!</v>
      </c>
      <c r="P102" s="477"/>
      <c r="Q102" s="477"/>
      <c r="R102" s="462">
        <f t="shared" ref="R102:R104" si="95">P102+Q102</f>
        <v>0</v>
      </c>
      <c r="S102" s="477"/>
      <c r="T102" s="477"/>
      <c r="U102" s="462">
        <f>S102+T102</f>
        <v>0</v>
      </c>
      <c r="V102" s="477"/>
      <c r="W102" s="477"/>
      <c r="X102" s="469"/>
      <c r="Y102" s="477"/>
      <c r="Z102" s="477"/>
      <c r="AA102" s="469"/>
      <c r="AB102" s="477"/>
      <c r="AC102" s="477"/>
      <c r="AD102" s="469"/>
      <c r="AE102" s="477"/>
      <c r="AF102" s="477"/>
      <c r="AG102" s="469"/>
      <c r="AH102" s="477"/>
      <c r="AI102" s="477"/>
      <c r="AJ102" s="469"/>
      <c r="AK102" s="477"/>
      <c r="AL102" s="477"/>
      <c r="AM102" s="469"/>
      <c r="AN102" s="477"/>
      <c r="AO102" s="477"/>
      <c r="AP102" s="469"/>
      <c r="AQ102" s="470" t="e">
        <f t="shared" ref="AQ102:AQ111" si="96">F102+I102+L102+O102+R102+U102</f>
        <v>#REF!</v>
      </c>
      <c r="AR102" s="470" t="e">
        <f t="shared" ref="AR102:AR111" si="97">C102-AQ102</f>
        <v>#REF!</v>
      </c>
      <c r="AS102" s="471" t="e">
        <f t="shared" ref="AS102:AS111" si="98">AQ102/C102</f>
        <v>#REF!</v>
      </c>
    </row>
    <row r="103" spans="1:45" ht="15.75" hidden="1" customHeight="1">
      <c r="A103" s="474" t="s">
        <v>1179</v>
      </c>
      <c r="B103" s="509"/>
      <c r="C103" s="476">
        <v>0</v>
      </c>
      <c r="D103" s="477"/>
      <c r="E103" s="477"/>
      <c r="F103" s="462">
        <f t="shared" si="91"/>
        <v>0</v>
      </c>
      <c r="G103" s="477"/>
      <c r="H103" s="477"/>
      <c r="I103" s="462">
        <f t="shared" si="92"/>
        <v>0</v>
      </c>
      <c r="J103" s="477"/>
      <c r="K103" s="477"/>
      <c r="L103" s="462">
        <f t="shared" si="93"/>
        <v>0</v>
      </c>
      <c r="M103" s="477"/>
      <c r="N103" s="477"/>
      <c r="O103" s="462">
        <f t="shared" si="94"/>
        <v>0</v>
      </c>
      <c r="P103" s="477"/>
      <c r="Q103" s="477"/>
      <c r="R103" s="462">
        <f t="shared" si="95"/>
        <v>0</v>
      </c>
      <c r="S103" s="477"/>
      <c r="T103" s="477"/>
      <c r="U103" s="462"/>
      <c r="V103" s="477"/>
      <c r="W103" s="477"/>
      <c r="X103" s="469"/>
      <c r="Y103" s="477"/>
      <c r="Z103" s="477"/>
      <c r="AA103" s="469"/>
      <c r="AB103" s="477"/>
      <c r="AC103" s="477"/>
      <c r="AD103" s="469"/>
      <c r="AE103" s="477"/>
      <c r="AF103" s="477"/>
      <c r="AG103" s="469"/>
      <c r="AH103" s="477"/>
      <c r="AI103" s="477"/>
      <c r="AJ103" s="469"/>
      <c r="AK103" s="477"/>
      <c r="AL103" s="477"/>
      <c r="AM103" s="469"/>
      <c r="AN103" s="477"/>
      <c r="AO103" s="477"/>
      <c r="AP103" s="469"/>
      <c r="AQ103" s="470">
        <f t="shared" si="96"/>
        <v>0</v>
      </c>
      <c r="AR103" s="470">
        <f t="shared" si="97"/>
        <v>0</v>
      </c>
      <c r="AS103" s="471" t="e">
        <f t="shared" si="98"/>
        <v>#DIV/0!</v>
      </c>
    </row>
    <row r="104" spans="1:45" ht="15.75" hidden="1" customHeight="1">
      <c r="A104" s="474" t="s">
        <v>1180</v>
      </c>
      <c r="B104" s="510"/>
      <c r="C104" s="476">
        <v>0</v>
      </c>
      <c r="D104" s="477"/>
      <c r="E104" s="477"/>
      <c r="F104" s="462">
        <f t="shared" si="91"/>
        <v>0</v>
      </c>
      <c r="G104" s="477"/>
      <c r="H104" s="477"/>
      <c r="I104" s="462">
        <f t="shared" si="92"/>
        <v>0</v>
      </c>
      <c r="J104" s="477"/>
      <c r="K104" s="477"/>
      <c r="L104" s="462">
        <f t="shared" si="93"/>
        <v>0</v>
      </c>
      <c r="M104" s="477"/>
      <c r="N104" s="477"/>
      <c r="O104" s="462">
        <f t="shared" si="94"/>
        <v>0</v>
      </c>
      <c r="P104" s="477"/>
      <c r="Q104" s="477"/>
      <c r="R104" s="462">
        <f t="shared" si="95"/>
        <v>0</v>
      </c>
      <c r="S104" s="477"/>
      <c r="T104" s="477"/>
      <c r="U104" s="462"/>
      <c r="V104" s="477"/>
      <c r="W104" s="477"/>
      <c r="X104" s="469"/>
      <c r="Y104" s="477"/>
      <c r="Z104" s="477"/>
      <c r="AA104" s="469"/>
      <c r="AB104" s="477"/>
      <c r="AC104" s="477"/>
      <c r="AD104" s="469"/>
      <c r="AE104" s="477"/>
      <c r="AF104" s="477"/>
      <c r="AG104" s="469"/>
      <c r="AH104" s="477"/>
      <c r="AI104" s="477"/>
      <c r="AJ104" s="469"/>
      <c r="AK104" s="477"/>
      <c r="AL104" s="477"/>
      <c r="AM104" s="469"/>
      <c r="AN104" s="477"/>
      <c r="AO104" s="477"/>
      <c r="AP104" s="469"/>
      <c r="AQ104" s="470">
        <f t="shared" si="96"/>
        <v>0</v>
      </c>
      <c r="AR104" s="470">
        <f t="shared" si="97"/>
        <v>0</v>
      </c>
      <c r="AS104" s="471" t="e">
        <f t="shared" si="98"/>
        <v>#DIV/0!</v>
      </c>
    </row>
    <row r="105" spans="1:45" ht="15.75" customHeight="1">
      <c r="A105" s="488" t="s">
        <v>882</v>
      </c>
      <c r="B105" s="489"/>
      <c r="C105" s="490">
        <f t="shared" ref="C105:U105" si="99">SUM(C102:C104)</f>
        <v>24000</v>
      </c>
      <c r="D105" s="491">
        <f t="shared" si="99"/>
        <v>0</v>
      </c>
      <c r="E105" s="491">
        <f t="shared" si="99"/>
        <v>0</v>
      </c>
      <c r="F105" s="491">
        <f t="shared" si="99"/>
        <v>0</v>
      </c>
      <c r="G105" s="491">
        <f t="shared" si="99"/>
        <v>0</v>
      </c>
      <c r="H105" s="491">
        <f t="shared" si="99"/>
        <v>0</v>
      </c>
      <c r="I105" s="491">
        <f t="shared" si="99"/>
        <v>0</v>
      </c>
      <c r="J105" s="491">
        <f t="shared" si="99"/>
        <v>0</v>
      </c>
      <c r="K105" s="491">
        <f t="shared" si="99"/>
        <v>0</v>
      </c>
      <c r="L105" s="491">
        <f t="shared" si="99"/>
        <v>0</v>
      </c>
      <c r="M105" s="491" t="e">
        <f t="shared" si="99"/>
        <v>#REF!</v>
      </c>
      <c r="N105" s="491">
        <f t="shared" si="99"/>
        <v>0</v>
      </c>
      <c r="O105" s="491" t="e">
        <f t="shared" si="99"/>
        <v>#REF!</v>
      </c>
      <c r="P105" s="491">
        <f t="shared" si="99"/>
        <v>0</v>
      </c>
      <c r="Q105" s="491">
        <f t="shared" si="99"/>
        <v>0</v>
      </c>
      <c r="R105" s="491">
        <f t="shared" si="99"/>
        <v>0</v>
      </c>
      <c r="S105" s="491">
        <f t="shared" si="99"/>
        <v>0</v>
      </c>
      <c r="T105" s="491">
        <f t="shared" si="99"/>
        <v>0</v>
      </c>
      <c r="U105" s="491">
        <f t="shared" si="99"/>
        <v>0</v>
      </c>
      <c r="V105" s="491"/>
      <c r="W105" s="492"/>
      <c r="X105" s="493"/>
      <c r="Y105" s="491"/>
      <c r="Z105" s="492"/>
      <c r="AA105" s="493"/>
      <c r="AB105" s="491"/>
      <c r="AC105" s="492"/>
      <c r="AD105" s="493"/>
      <c r="AE105" s="491"/>
      <c r="AF105" s="492"/>
      <c r="AG105" s="493"/>
      <c r="AH105" s="491"/>
      <c r="AI105" s="492"/>
      <c r="AJ105" s="493"/>
      <c r="AK105" s="491"/>
      <c r="AL105" s="492"/>
      <c r="AM105" s="493"/>
      <c r="AN105" s="491"/>
      <c r="AO105" s="492"/>
      <c r="AP105" s="493"/>
      <c r="AQ105" s="494" t="e">
        <f t="shared" si="96"/>
        <v>#REF!</v>
      </c>
      <c r="AR105" s="494" t="e">
        <f t="shared" si="97"/>
        <v>#REF!</v>
      </c>
      <c r="AS105" s="495" t="e">
        <f t="shared" si="98"/>
        <v>#REF!</v>
      </c>
    </row>
    <row r="106" spans="1:45" ht="15.75" customHeight="1">
      <c r="A106" s="511" t="s">
        <v>883</v>
      </c>
      <c r="B106" s="512"/>
      <c r="C106" s="466">
        <f t="shared" ref="C106:U106" si="100">C105+C100+C83+C75+C62+C45</f>
        <v>689100</v>
      </c>
      <c r="D106" s="467" t="e">
        <f t="shared" si="100"/>
        <v>#REF!</v>
      </c>
      <c r="E106" s="467">
        <f t="shared" si="100"/>
        <v>7799.22</v>
      </c>
      <c r="F106" s="467" t="e">
        <f t="shared" si="100"/>
        <v>#REF!</v>
      </c>
      <c r="G106" s="467" t="e">
        <f t="shared" si="100"/>
        <v>#REF!</v>
      </c>
      <c r="H106" s="467" t="e">
        <f t="shared" si="100"/>
        <v>#REF!</v>
      </c>
      <c r="I106" s="467" t="e">
        <f t="shared" si="100"/>
        <v>#REF!</v>
      </c>
      <c r="J106" s="467" t="e">
        <f t="shared" si="100"/>
        <v>#REF!</v>
      </c>
      <c r="K106" s="467" t="e">
        <f t="shared" si="100"/>
        <v>#REF!</v>
      </c>
      <c r="L106" s="467" t="e">
        <f t="shared" si="100"/>
        <v>#REF!</v>
      </c>
      <c r="M106" s="467" t="e">
        <f t="shared" si="100"/>
        <v>#REF!</v>
      </c>
      <c r="N106" s="467" t="e">
        <f t="shared" si="100"/>
        <v>#REF!</v>
      </c>
      <c r="O106" s="467" t="e">
        <f t="shared" si="100"/>
        <v>#REF!</v>
      </c>
      <c r="P106" s="467" t="e">
        <f t="shared" si="100"/>
        <v>#REF!</v>
      </c>
      <c r="Q106" s="467">
        <f t="shared" si="100"/>
        <v>5476</v>
      </c>
      <c r="R106" s="467" t="e">
        <f t="shared" si="100"/>
        <v>#REF!</v>
      </c>
      <c r="S106" s="467" t="e">
        <f t="shared" si="100"/>
        <v>#REF!</v>
      </c>
      <c r="T106" s="467" t="e">
        <f t="shared" si="100"/>
        <v>#REF!</v>
      </c>
      <c r="U106" s="467" t="e">
        <f t="shared" si="100"/>
        <v>#REF!</v>
      </c>
      <c r="V106" s="480"/>
      <c r="W106" s="467"/>
      <c r="X106" s="468"/>
      <c r="Y106" s="480"/>
      <c r="Z106" s="467"/>
      <c r="AA106" s="468"/>
      <c r="AB106" s="480"/>
      <c r="AC106" s="467"/>
      <c r="AD106" s="468"/>
      <c r="AE106" s="480"/>
      <c r="AF106" s="467"/>
      <c r="AG106" s="468"/>
      <c r="AH106" s="480"/>
      <c r="AI106" s="467"/>
      <c r="AJ106" s="468"/>
      <c r="AK106" s="480"/>
      <c r="AL106" s="467"/>
      <c r="AM106" s="468"/>
      <c r="AN106" s="480"/>
      <c r="AO106" s="467"/>
      <c r="AP106" s="468"/>
      <c r="AQ106" s="470" t="e">
        <f t="shared" si="96"/>
        <v>#REF!</v>
      </c>
      <c r="AR106" s="470" t="e">
        <f t="shared" si="97"/>
        <v>#REF!</v>
      </c>
      <c r="AS106" s="471" t="e">
        <f t="shared" si="98"/>
        <v>#REF!</v>
      </c>
    </row>
    <row r="107" spans="1:45" ht="15.75" customHeight="1">
      <c r="A107" s="474" t="s">
        <v>1181</v>
      </c>
      <c r="B107" s="475"/>
      <c r="C107" s="476">
        <v>34455</v>
      </c>
      <c r="D107" s="480"/>
      <c r="E107" s="480"/>
      <c r="F107" s="461">
        <f>D107+E107</f>
        <v>0</v>
      </c>
      <c r="G107" s="480"/>
      <c r="H107" s="480"/>
      <c r="I107" s="461">
        <f>G107+H107</f>
        <v>0</v>
      </c>
      <c r="J107" s="480"/>
      <c r="K107" s="480"/>
      <c r="L107" s="461">
        <f>J107+K107</f>
        <v>0</v>
      </c>
      <c r="M107" s="480"/>
      <c r="N107" s="480"/>
      <c r="O107" s="461">
        <f>M107+N107</f>
        <v>0</v>
      </c>
      <c r="P107" s="480"/>
      <c r="Q107" s="480"/>
      <c r="R107" s="461">
        <f>P107+Q107</f>
        <v>0</v>
      </c>
      <c r="S107" s="480"/>
      <c r="T107" s="480"/>
      <c r="U107" s="461">
        <f>S107+T107</f>
        <v>0</v>
      </c>
      <c r="V107" s="480"/>
      <c r="W107" s="480"/>
      <c r="X107" s="468"/>
      <c r="Y107" s="480"/>
      <c r="Z107" s="480"/>
      <c r="AA107" s="468"/>
      <c r="AB107" s="480"/>
      <c r="AC107" s="480"/>
      <c r="AD107" s="468"/>
      <c r="AE107" s="480"/>
      <c r="AF107" s="480"/>
      <c r="AG107" s="468"/>
      <c r="AH107" s="480"/>
      <c r="AI107" s="480"/>
      <c r="AJ107" s="468"/>
      <c r="AK107" s="480"/>
      <c r="AL107" s="480"/>
      <c r="AM107" s="468"/>
      <c r="AN107" s="480"/>
      <c r="AO107" s="480"/>
      <c r="AP107" s="468"/>
      <c r="AQ107" s="470">
        <f t="shared" si="96"/>
        <v>0</v>
      </c>
      <c r="AR107" s="470">
        <f t="shared" si="97"/>
        <v>34455</v>
      </c>
      <c r="AS107" s="471">
        <f t="shared" si="98"/>
        <v>0</v>
      </c>
    </row>
    <row r="108" spans="1:45" ht="15.75" customHeight="1">
      <c r="A108" s="511" t="s">
        <v>885</v>
      </c>
      <c r="B108" s="513"/>
      <c r="C108" s="514">
        <f t="shared" ref="C108:U108" si="101">C106+C107</f>
        <v>723555</v>
      </c>
      <c r="D108" s="515" t="e">
        <f t="shared" si="101"/>
        <v>#REF!</v>
      </c>
      <c r="E108" s="515">
        <f t="shared" si="101"/>
        <v>7799.22</v>
      </c>
      <c r="F108" s="515" t="e">
        <f t="shared" si="101"/>
        <v>#REF!</v>
      </c>
      <c r="G108" s="515" t="e">
        <f t="shared" si="101"/>
        <v>#REF!</v>
      </c>
      <c r="H108" s="515" t="e">
        <f t="shared" si="101"/>
        <v>#REF!</v>
      </c>
      <c r="I108" s="515" t="e">
        <f t="shared" si="101"/>
        <v>#REF!</v>
      </c>
      <c r="J108" s="515" t="e">
        <f t="shared" si="101"/>
        <v>#REF!</v>
      </c>
      <c r="K108" s="515" t="e">
        <f t="shared" si="101"/>
        <v>#REF!</v>
      </c>
      <c r="L108" s="515" t="e">
        <f t="shared" si="101"/>
        <v>#REF!</v>
      </c>
      <c r="M108" s="515" t="e">
        <f t="shared" si="101"/>
        <v>#REF!</v>
      </c>
      <c r="N108" s="515" t="e">
        <f t="shared" si="101"/>
        <v>#REF!</v>
      </c>
      <c r="O108" s="515" t="e">
        <f t="shared" si="101"/>
        <v>#REF!</v>
      </c>
      <c r="P108" s="515" t="e">
        <f t="shared" si="101"/>
        <v>#REF!</v>
      </c>
      <c r="Q108" s="515">
        <f t="shared" si="101"/>
        <v>5476</v>
      </c>
      <c r="R108" s="515" t="e">
        <f t="shared" si="101"/>
        <v>#REF!</v>
      </c>
      <c r="S108" s="515" t="e">
        <f t="shared" si="101"/>
        <v>#REF!</v>
      </c>
      <c r="T108" s="515" t="e">
        <f t="shared" si="101"/>
        <v>#REF!</v>
      </c>
      <c r="U108" s="515" t="e">
        <f t="shared" si="101"/>
        <v>#REF!</v>
      </c>
      <c r="V108" s="515"/>
      <c r="W108" s="467"/>
      <c r="X108" s="468"/>
      <c r="Y108" s="515"/>
      <c r="Z108" s="467"/>
      <c r="AA108" s="468"/>
      <c r="AB108" s="515"/>
      <c r="AC108" s="467"/>
      <c r="AD108" s="468"/>
      <c r="AE108" s="515"/>
      <c r="AF108" s="467"/>
      <c r="AG108" s="468"/>
      <c r="AH108" s="515"/>
      <c r="AI108" s="467"/>
      <c r="AJ108" s="468"/>
      <c r="AK108" s="515"/>
      <c r="AL108" s="467"/>
      <c r="AM108" s="468"/>
      <c r="AN108" s="515"/>
      <c r="AO108" s="467"/>
      <c r="AP108" s="468"/>
      <c r="AQ108" s="470" t="e">
        <f t="shared" si="96"/>
        <v>#REF!</v>
      </c>
      <c r="AR108" s="470" t="e">
        <f t="shared" si="97"/>
        <v>#REF!</v>
      </c>
      <c r="AS108" s="471" t="e">
        <f t="shared" si="98"/>
        <v>#REF!</v>
      </c>
    </row>
    <row r="109" spans="1:45" ht="15.75" customHeight="1">
      <c r="A109" s="474" t="s">
        <v>1182</v>
      </c>
      <c r="B109" s="475"/>
      <c r="C109" s="476">
        <f>49920</f>
        <v>49920</v>
      </c>
      <c r="D109" s="480"/>
      <c r="E109" s="467"/>
      <c r="F109" s="461">
        <f>D109+E109</f>
        <v>0</v>
      </c>
      <c r="G109" s="480"/>
      <c r="H109" s="467"/>
      <c r="I109" s="461">
        <f>G109+H109</f>
        <v>0</v>
      </c>
      <c r="J109" s="480"/>
      <c r="K109" s="467"/>
      <c r="L109" s="461">
        <f>J109+K109</f>
        <v>0</v>
      </c>
      <c r="M109" s="480"/>
      <c r="N109" s="467"/>
      <c r="O109" s="461">
        <f>M109+N109</f>
        <v>0</v>
      </c>
      <c r="P109" s="480"/>
      <c r="Q109" s="467"/>
      <c r="R109" s="461">
        <f>P109+Q109</f>
        <v>0</v>
      </c>
      <c r="S109" s="480"/>
      <c r="T109" s="467"/>
      <c r="U109" s="461"/>
      <c r="V109" s="480"/>
      <c r="W109" s="467"/>
      <c r="X109" s="468"/>
      <c r="Y109" s="480"/>
      <c r="Z109" s="467"/>
      <c r="AA109" s="468"/>
      <c r="AB109" s="480"/>
      <c r="AC109" s="467"/>
      <c r="AD109" s="468"/>
      <c r="AE109" s="480"/>
      <c r="AF109" s="467"/>
      <c r="AG109" s="468"/>
      <c r="AH109" s="480"/>
      <c r="AI109" s="467"/>
      <c r="AJ109" s="468"/>
      <c r="AK109" s="480"/>
      <c r="AL109" s="467"/>
      <c r="AM109" s="468"/>
      <c r="AN109" s="480"/>
      <c r="AO109" s="467"/>
      <c r="AP109" s="468"/>
      <c r="AQ109" s="470">
        <f t="shared" si="96"/>
        <v>0</v>
      </c>
      <c r="AR109" s="470">
        <f t="shared" si="97"/>
        <v>49920</v>
      </c>
      <c r="AS109" s="471">
        <f t="shared" si="98"/>
        <v>0</v>
      </c>
    </row>
    <row r="110" spans="1:45" ht="15.75" customHeight="1">
      <c r="A110" s="511" t="s">
        <v>887</v>
      </c>
      <c r="B110" s="513"/>
      <c r="C110" s="514">
        <f t="shared" ref="C110:U110" si="102">C108+C109</f>
        <v>773475</v>
      </c>
      <c r="D110" s="515" t="e">
        <f t="shared" si="102"/>
        <v>#REF!</v>
      </c>
      <c r="E110" s="515">
        <f t="shared" si="102"/>
        <v>7799.22</v>
      </c>
      <c r="F110" s="515" t="e">
        <f t="shared" si="102"/>
        <v>#REF!</v>
      </c>
      <c r="G110" s="515" t="e">
        <f t="shared" si="102"/>
        <v>#REF!</v>
      </c>
      <c r="H110" s="515" t="e">
        <f t="shared" si="102"/>
        <v>#REF!</v>
      </c>
      <c r="I110" s="515" t="e">
        <f t="shared" si="102"/>
        <v>#REF!</v>
      </c>
      <c r="J110" s="515" t="e">
        <f t="shared" si="102"/>
        <v>#REF!</v>
      </c>
      <c r="K110" s="515" t="e">
        <f t="shared" si="102"/>
        <v>#REF!</v>
      </c>
      <c r="L110" s="515" t="e">
        <f t="shared" si="102"/>
        <v>#REF!</v>
      </c>
      <c r="M110" s="515" t="e">
        <f t="shared" si="102"/>
        <v>#REF!</v>
      </c>
      <c r="N110" s="515" t="e">
        <f t="shared" si="102"/>
        <v>#REF!</v>
      </c>
      <c r="O110" s="515" t="e">
        <f t="shared" si="102"/>
        <v>#REF!</v>
      </c>
      <c r="P110" s="515" t="e">
        <f t="shared" si="102"/>
        <v>#REF!</v>
      </c>
      <c r="Q110" s="515">
        <f t="shared" si="102"/>
        <v>5476</v>
      </c>
      <c r="R110" s="515" t="e">
        <f t="shared" si="102"/>
        <v>#REF!</v>
      </c>
      <c r="S110" s="515" t="e">
        <f t="shared" si="102"/>
        <v>#REF!</v>
      </c>
      <c r="T110" s="515" t="e">
        <f t="shared" si="102"/>
        <v>#REF!</v>
      </c>
      <c r="U110" s="515" t="e">
        <f t="shared" si="102"/>
        <v>#REF!</v>
      </c>
      <c r="V110" s="515"/>
      <c r="W110" s="515"/>
      <c r="X110" s="468"/>
      <c r="Y110" s="515"/>
      <c r="Z110" s="515"/>
      <c r="AA110" s="468"/>
      <c r="AB110" s="515"/>
      <c r="AC110" s="515"/>
      <c r="AD110" s="468"/>
      <c r="AE110" s="515"/>
      <c r="AF110" s="515"/>
      <c r="AG110" s="468"/>
      <c r="AH110" s="515"/>
      <c r="AI110" s="515"/>
      <c r="AJ110" s="468"/>
      <c r="AK110" s="515"/>
      <c r="AL110" s="515"/>
      <c r="AM110" s="468"/>
      <c r="AN110" s="515"/>
      <c r="AO110" s="515"/>
      <c r="AP110" s="468"/>
      <c r="AQ110" s="470" t="e">
        <f t="shared" si="96"/>
        <v>#REF!</v>
      </c>
      <c r="AR110" s="470" t="e">
        <f t="shared" si="97"/>
        <v>#REF!</v>
      </c>
      <c r="AS110" s="471" t="e">
        <f t="shared" si="98"/>
        <v>#REF!</v>
      </c>
    </row>
    <row r="111" spans="1:45" ht="15.75" customHeight="1">
      <c r="A111" s="511" t="s">
        <v>1183</v>
      </c>
      <c r="B111" s="513"/>
      <c r="C111" s="514">
        <f t="shared" ref="C111:U111" si="103">C110</f>
        <v>773475</v>
      </c>
      <c r="D111" s="515" t="e">
        <f t="shared" si="103"/>
        <v>#REF!</v>
      </c>
      <c r="E111" s="515">
        <f t="shared" si="103"/>
        <v>7799.22</v>
      </c>
      <c r="F111" s="515" t="e">
        <f t="shared" si="103"/>
        <v>#REF!</v>
      </c>
      <c r="G111" s="515" t="e">
        <f t="shared" si="103"/>
        <v>#REF!</v>
      </c>
      <c r="H111" s="515" t="e">
        <f t="shared" si="103"/>
        <v>#REF!</v>
      </c>
      <c r="I111" s="515" t="e">
        <f t="shared" si="103"/>
        <v>#REF!</v>
      </c>
      <c r="J111" s="515" t="e">
        <f t="shared" si="103"/>
        <v>#REF!</v>
      </c>
      <c r="K111" s="515" t="e">
        <f t="shared" si="103"/>
        <v>#REF!</v>
      </c>
      <c r="L111" s="515" t="e">
        <f t="shared" si="103"/>
        <v>#REF!</v>
      </c>
      <c r="M111" s="515" t="e">
        <f t="shared" si="103"/>
        <v>#REF!</v>
      </c>
      <c r="N111" s="515" t="e">
        <f t="shared" si="103"/>
        <v>#REF!</v>
      </c>
      <c r="O111" s="515" t="e">
        <f t="shared" si="103"/>
        <v>#REF!</v>
      </c>
      <c r="P111" s="515" t="e">
        <f t="shared" si="103"/>
        <v>#REF!</v>
      </c>
      <c r="Q111" s="515">
        <f t="shared" si="103"/>
        <v>5476</v>
      </c>
      <c r="R111" s="515" t="e">
        <f t="shared" si="103"/>
        <v>#REF!</v>
      </c>
      <c r="S111" s="515" t="e">
        <f t="shared" si="103"/>
        <v>#REF!</v>
      </c>
      <c r="T111" s="515" t="e">
        <f t="shared" si="103"/>
        <v>#REF!</v>
      </c>
      <c r="U111" s="515" t="e">
        <f t="shared" si="103"/>
        <v>#REF!</v>
      </c>
      <c r="V111" s="515"/>
      <c r="W111" s="515"/>
      <c r="X111" s="468"/>
      <c r="Y111" s="515"/>
      <c r="Z111" s="515"/>
      <c r="AA111" s="468"/>
      <c r="AB111" s="515"/>
      <c r="AC111" s="515"/>
      <c r="AD111" s="468"/>
      <c r="AE111" s="515"/>
      <c r="AF111" s="515"/>
      <c r="AG111" s="468"/>
      <c r="AH111" s="515"/>
      <c r="AI111" s="515"/>
      <c r="AJ111" s="468"/>
      <c r="AK111" s="515"/>
      <c r="AL111" s="515"/>
      <c r="AM111" s="468"/>
      <c r="AN111" s="515"/>
      <c r="AO111" s="515"/>
      <c r="AP111" s="468"/>
      <c r="AQ111" s="470" t="e">
        <f t="shared" si="96"/>
        <v>#REF!</v>
      </c>
      <c r="AR111" s="470" t="e">
        <f t="shared" si="97"/>
        <v>#REF!</v>
      </c>
      <c r="AS111" s="471" t="e">
        <f t="shared" si="98"/>
        <v>#REF!</v>
      </c>
    </row>
    <row r="112" spans="1:45" ht="15.75" hidden="1" customHeight="1">
      <c r="A112" s="516"/>
      <c r="B112" s="444"/>
      <c r="C112" s="1034" t="s">
        <v>1184</v>
      </c>
      <c r="D112" s="1035"/>
      <c r="E112" s="517">
        <f>E110*0.05</f>
        <v>389.96100000000001</v>
      </c>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row>
    <row r="113" spans="1:45" ht="15.75" hidden="1" customHeight="1">
      <c r="A113" s="518"/>
      <c r="B113" s="519"/>
      <c r="C113" s="1034" t="s">
        <v>1185</v>
      </c>
      <c r="D113" s="1035"/>
      <c r="E113" s="520">
        <f>E110*0.95</f>
        <v>7409.259</v>
      </c>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row>
    <row r="114" spans="1:45" ht="15.75" hidden="1" customHeight="1">
      <c r="A114" s="521"/>
      <c r="B114" s="444"/>
      <c r="C114" s="1036"/>
      <c r="D114" s="1037"/>
      <c r="E114" s="520"/>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row>
    <row r="115" spans="1:45" ht="15.75" customHeight="1">
      <c r="A115" s="196"/>
      <c r="B115" s="196"/>
      <c r="C115" s="88"/>
      <c r="D115" s="88"/>
      <c r="E115" s="88"/>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row>
    <row r="116" spans="1:45" ht="15.75" customHeight="1">
      <c r="A116" s="196"/>
      <c r="B116" s="196"/>
      <c r="C116" s="88"/>
      <c r="D116" s="88"/>
      <c r="E116" s="88"/>
      <c r="F116" s="196"/>
      <c r="G116" s="185"/>
      <c r="H116" s="196"/>
      <c r="I116" s="196"/>
      <c r="J116" s="196"/>
      <c r="K116" s="196"/>
      <c r="L116" s="196"/>
      <c r="M116" s="196"/>
      <c r="N116" s="196"/>
      <c r="O116" s="196"/>
      <c r="P116" s="196"/>
      <c r="Q116" s="196"/>
      <c r="R116" s="196"/>
      <c r="S116" s="522"/>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row>
    <row r="117" spans="1:45" ht="15.75" customHeight="1">
      <c r="A117" s="196"/>
      <c r="B117" s="196"/>
      <c r="C117" s="88"/>
      <c r="D117" s="439">
        <f>18472.23</f>
        <v>18472.23</v>
      </c>
      <c r="E117" s="439">
        <f>7799.22</f>
        <v>7799.22</v>
      </c>
      <c r="F117" s="439">
        <v>26271.45</v>
      </c>
      <c r="G117" s="439">
        <v>19909.66</v>
      </c>
      <c r="H117" s="439">
        <v>7140.03</v>
      </c>
      <c r="I117" s="439">
        <v>27049.69</v>
      </c>
      <c r="J117" s="439">
        <v>18448.72</v>
      </c>
      <c r="K117" s="439">
        <v>2625</v>
      </c>
      <c r="L117" s="439">
        <v>21073.72</v>
      </c>
      <c r="M117" s="439">
        <v>24882.69</v>
      </c>
      <c r="N117" s="439">
        <v>477</v>
      </c>
      <c r="O117" s="439">
        <v>25359.69</v>
      </c>
      <c r="P117" s="439">
        <v>43854.69</v>
      </c>
      <c r="Q117" s="439">
        <v>5476</v>
      </c>
      <c r="R117" s="439">
        <v>49330.69</v>
      </c>
      <c r="S117" s="439">
        <v>19311.099999999999</v>
      </c>
      <c r="T117" s="439">
        <v>765.01</v>
      </c>
      <c r="U117" s="439">
        <v>20076.11</v>
      </c>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row>
    <row r="118" spans="1:45" ht="15.75" customHeight="1">
      <c r="A118" s="196"/>
      <c r="B118" s="196"/>
      <c r="C118" s="88"/>
      <c r="D118" s="88"/>
      <c r="E118" s="88"/>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row>
    <row r="119" spans="1:45" ht="15.75" customHeight="1">
      <c r="A119" s="196"/>
      <c r="B119" s="196"/>
      <c r="C119" s="88"/>
      <c r="D119" s="88"/>
      <c r="E119" s="88"/>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row>
    <row r="120" spans="1:45" ht="15.75" customHeight="1">
      <c r="A120" s="196"/>
      <c r="B120" s="196"/>
      <c r="C120" s="88"/>
      <c r="D120" s="88"/>
      <c r="E120" s="88"/>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row>
    <row r="121" spans="1:45" ht="15.75" customHeight="1">
      <c r="A121" s="196"/>
      <c r="B121" s="196"/>
      <c r="C121" s="88"/>
      <c r="D121" s="88"/>
      <c r="E121" s="88"/>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row>
    <row r="122" spans="1:45" ht="15.75" customHeight="1">
      <c r="A122" s="196"/>
      <c r="B122" s="196"/>
      <c r="C122" s="88"/>
      <c r="D122" s="88"/>
      <c r="E122" s="88"/>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row>
    <row r="123" spans="1:45" ht="15.75" customHeight="1">
      <c r="A123" s="196"/>
      <c r="B123" s="196"/>
      <c r="C123" s="88"/>
      <c r="D123" s="88"/>
      <c r="E123" s="88"/>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row>
    <row r="124" spans="1:45" ht="15.75" customHeight="1">
      <c r="A124" s="196"/>
      <c r="B124" s="196"/>
      <c r="C124" s="88"/>
      <c r="D124" s="88"/>
      <c r="E124" s="88"/>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row>
    <row r="125" spans="1:45" ht="15.75" customHeight="1">
      <c r="A125" s="196"/>
      <c r="B125" s="196"/>
      <c r="C125" s="88"/>
      <c r="D125" s="88"/>
      <c r="E125" s="88"/>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row>
    <row r="126" spans="1:45" ht="15.75" customHeight="1">
      <c r="A126" s="196"/>
      <c r="B126" s="196"/>
      <c r="C126" s="88"/>
      <c r="D126" s="88"/>
      <c r="E126" s="88"/>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row>
    <row r="127" spans="1:45" ht="15.75" customHeight="1">
      <c r="A127" s="196"/>
      <c r="B127" s="196"/>
      <c r="C127" s="88"/>
      <c r="D127" s="88"/>
      <c r="E127" s="88"/>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row>
    <row r="128" spans="1:45" ht="15.75" customHeight="1">
      <c r="A128" s="196"/>
      <c r="B128" s="196"/>
      <c r="C128" s="88"/>
      <c r="D128" s="88"/>
      <c r="E128" s="88"/>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row>
    <row r="129" spans="1:45" ht="15.75" customHeight="1">
      <c r="A129" s="196"/>
      <c r="B129" s="196"/>
      <c r="C129" s="88"/>
      <c r="D129" s="88"/>
      <c r="E129" s="88"/>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row>
    <row r="130" spans="1:45" ht="15.75" customHeight="1">
      <c r="A130" s="196"/>
      <c r="B130" s="196"/>
      <c r="C130" s="88"/>
      <c r="D130" s="88"/>
      <c r="E130" s="88"/>
      <c r="F130" s="196"/>
      <c r="G130" s="196"/>
      <c r="H130" s="196"/>
      <c r="I130" s="196"/>
      <c r="J130" s="196"/>
      <c r="K130" s="196"/>
      <c r="L130" s="196"/>
      <c r="M130" s="196"/>
      <c r="N130" s="196"/>
      <c r="O130" s="196"/>
      <c r="P130" s="196"/>
      <c r="Q130" s="196"/>
      <c r="R130" s="196"/>
      <c r="S130" s="196"/>
      <c r="T130" s="196"/>
      <c r="U130" s="196"/>
      <c r="V130" s="196"/>
      <c r="W130" s="196"/>
      <c r="X130" s="196"/>
      <c r="Y130" s="196"/>
      <c r="Z130" s="196"/>
      <c r="AA130" s="196"/>
      <c r="AB130" s="196"/>
      <c r="AC130" s="196"/>
      <c r="AD130" s="196"/>
      <c r="AE130" s="196"/>
      <c r="AF130" s="196"/>
      <c r="AG130" s="196"/>
      <c r="AH130" s="196"/>
      <c r="AI130" s="196"/>
      <c r="AJ130" s="196"/>
      <c r="AK130" s="196"/>
      <c r="AL130" s="196"/>
      <c r="AM130" s="196"/>
      <c r="AN130" s="196"/>
      <c r="AO130" s="196"/>
      <c r="AP130" s="196"/>
      <c r="AQ130" s="196"/>
      <c r="AR130" s="196"/>
      <c r="AS130" s="196"/>
    </row>
    <row r="131" spans="1:45" ht="15.75" customHeight="1">
      <c r="A131" s="196"/>
      <c r="B131" s="196"/>
      <c r="C131" s="88"/>
      <c r="D131" s="88"/>
      <c r="E131" s="88"/>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96"/>
      <c r="AM131" s="196"/>
      <c r="AN131" s="196"/>
      <c r="AO131" s="196"/>
      <c r="AP131" s="196"/>
      <c r="AQ131" s="196"/>
      <c r="AR131" s="196"/>
      <c r="AS131" s="196"/>
    </row>
    <row r="132" spans="1:45" ht="15.75" customHeight="1">
      <c r="A132" s="196"/>
      <c r="B132" s="196"/>
      <c r="C132" s="88"/>
      <c r="D132" s="88"/>
      <c r="E132" s="88"/>
      <c r="F132" s="196"/>
      <c r="G132" s="196"/>
      <c r="H132" s="196"/>
      <c r="I132" s="196"/>
      <c r="J132" s="196"/>
      <c r="K132" s="196"/>
      <c r="L132" s="196"/>
      <c r="M132" s="196"/>
      <c r="N132" s="196"/>
      <c r="O132" s="196"/>
      <c r="P132" s="196"/>
      <c r="Q132" s="196"/>
      <c r="R132" s="196"/>
      <c r="S132" s="196"/>
      <c r="T132" s="196"/>
      <c r="U132" s="196"/>
      <c r="V132" s="196"/>
      <c r="W132" s="196"/>
      <c r="X132" s="196"/>
      <c r="Y132" s="196"/>
      <c r="Z132" s="196"/>
      <c r="AA132" s="196"/>
      <c r="AB132" s="196"/>
      <c r="AC132" s="196"/>
      <c r="AD132" s="196"/>
      <c r="AE132" s="196"/>
      <c r="AF132" s="196"/>
      <c r="AG132" s="196"/>
      <c r="AH132" s="196"/>
      <c r="AI132" s="196"/>
      <c r="AJ132" s="196"/>
      <c r="AK132" s="196"/>
      <c r="AL132" s="196"/>
      <c r="AM132" s="196"/>
      <c r="AN132" s="196"/>
      <c r="AO132" s="196"/>
      <c r="AP132" s="196"/>
      <c r="AQ132" s="196"/>
      <c r="AR132" s="196"/>
      <c r="AS132" s="196"/>
    </row>
    <row r="133" spans="1:45" ht="15.75" customHeight="1">
      <c r="A133" s="196"/>
      <c r="B133" s="196"/>
      <c r="C133" s="88"/>
      <c r="D133" s="88"/>
      <c r="E133" s="88"/>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96"/>
      <c r="AE133" s="196"/>
      <c r="AF133" s="196"/>
      <c r="AG133" s="196"/>
      <c r="AH133" s="196"/>
      <c r="AI133" s="196"/>
      <c r="AJ133" s="196"/>
      <c r="AK133" s="196"/>
      <c r="AL133" s="196"/>
      <c r="AM133" s="196"/>
      <c r="AN133" s="196"/>
      <c r="AO133" s="196"/>
      <c r="AP133" s="196"/>
      <c r="AQ133" s="196"/>
      <c r="AR133" s="196"/>
      <c r="AS133" s="196"/>
    </row>
    <row r="134" spans="1:45" ht="15.75" customHeight="1">
      <c r="A134" s="196"/>
      <c r="B134" s="196"/>
      <c r="C134" s="88"/>
      <c r="D134" s="88"/>
      <c r="E134" s="88"/>
      <c r="F134" s="196"/>
      <c r="G134" s="196"/>
      <c r="H134" s="196"/>
      <c r="I134" s="196"/>
      <c r="J134" s="196"/>
      <c r="K134" s="196"/>
      <c r="L134" s="196"/>
      <c r="M134" s="196"/>
      <c r="N134" s="196"/>
      <c r="O134" s="196"/>
      <c r="P134" s="196"/>
      <c r="Q134" s="196"/>
      <c r="R134" s="196"/>
      <c r="S134" s="196"/>
      <c r="T134" s="196"/>
      <c r="U134" s="196"/>
      <c r="V134" s="196"/>
      <c r="W134" s="196"/>
      <c r="X134" s="196"/>
      <c r="Y134" s="196"/>
      <c r="Z134" s="196"/>
      <c r="AA134" s="196"/>
      <c r="AB134" s="196"/>
      <c r="AC134" s="196"/>
      <c r="AD134" s="196"/>
      <c r="AE134" s="196"/>
      <c r="AF134" s="196"/>
      <c r="AG134" s="196"/>
      <c r="AH134" s="196"/>
      <c r="AI134" s="196"/>
      <c r="AJ134" s="196"/>
      <c r="AK134" s="196"/>
      <c r="AL134" s="196"/>
      <c r="AM134" s="196"/>
      <c r="AN134" s="196"/>
      <c r="AO134" s="196"/>
      <c r="AP134" s="196"/>
      <c r="AQ134" s="196"/>
      <c r="AR134" s="196"/>
      <c r="AS134" s="196"/>
    </row>
    <row r="135" spans="1:45" ht="15.75" customHeight="1">
      <c r="A135" s="196"/>
      <c r="B135" s="196"/>
      <c r="C135" s="88"/>
      <c r="D135" s="88"/>
      <c r="E135" s="88"/>
      <c r="F135" s="196"/>
      <c r="G135" s="196"/>
      <c r="H135" s="196"/>
      <c r="I135" s="196"/>
      <c r="J135" s="196"/>
      <c r="K135" s="196"/>
      <c r="L135" s="196"/>
      <c r="M135" s="196"/>
      <c r="N135" s="196"/>
      <c r="O135" s="196"/>
      <c r="P135" s="196"/>
      <c r="Q135" s="196"/>
      <c r="R135" s="196"/>
      <c r="S135" s="196"/>
      <c r="T135" s="196"/>
      <c r="U135" s="196"/>
      <c r="V135" s="196"/>
      <c r="W135" s="196"/>
      <c r="X135" s="196"/>
      <c r="Y135" s="196"/>
      <c r="Z135" s="196"/>
      <c r="AA135" s="196"/>
      <c r="AB135" s="196"/>
      <c r="AC135" s="196"/>
      <c r="AD135" s="196"/>
      <c r="AE135" s="196"/>
      <c r="AF135" s="196"/>
      <c r="AG135" s="196"/>
      <c r="AH135" s="196"/>
      <c r="AI135" s="196"/>
      <c r="AJ135" s="196"/>
      <c r="AK135" s="196"/>
      <c r="AL135" s="196"/>
      <c r="AM135" s="196"/>
      <c r="AN135" s="196"/>
      <c r="AO135" s="196"/>
      <c r="AP135" s="196"/>
      <c r="AQ135" s="196"/>
      <c r="AR135" s="196"/>
      <c r="AS135" s="196"/>
    </row>
    <row r="136" spans="1:45" ht="15.75" customHeight="1">
      <c r="A136" s="196"/>
      <c r="B136" s="196"/>
      <c r="C136" s="88"/>
      <c r="D136" s="88"/>
      <c r="E136" s="88"/>
      <c r="F136" s="196"/>
      <c r="G136" s="196"/>
      <c r="H136" s="196"/>
      <c r="I136" s="196"/>
      <c r="J136" s="196"/>
      <c r="K136" s="196"/>
      <c r="L136" s="196"/>
      <c r="M136" s="196"/>
      <c r="N136" s="196"/>
      <c r="O136" s="196"/>
      <c r="P136" s="196"/>
      <c r="Q136" s="196"/>
      <c r="R136" s="196"/>
      <c r="S136" s="196"/>
      <c r="T136" s="196"/>
      <c r="U136" s="196"/>
      <c r="V136" s="196"/>
      <c r="W136" s="196"/>
      <c r="X136" s="196"/>
      <c r="Y136" s="196"/>
      <c r="Z136" s="196"/>
      <c r="AA136" s="196"/>
      <c r="AB136" s="196"/>
      <c r="AC136" s="196"/>
      <c r="AD136" s="196"/>
      <c r="AE136" s="196"/>
      <c r="AF136" s="196"/>
      <c r="AG136" s="196"/>
      <c r="AH136" s="196"/>
      <c r="AI136" s="196"/>
      <c r="AJ136" s="196"/>
      <c r="AK136" s="196"/>
      <c r="AL136" s="196"/>
      <c r="AM136" s="196"/>
      <c r="AN136" s="196"/>
      <c r="AO136" s="196"/>
      <c r="AP136" s="196"/>
      <c r="AQ136" s="196"/>
      <c r="AR136" s="196"/>
      <c r="AS136" s="196"/>
    </row>
    <row r="137" spans="1:45" ht="15.75" customHeight="1">
      <c r="A137" s="196"/>
      <c r="B137" s="196"/>
      <c r="C137" s="88"/>
      <c r="D137" s="88"/>
      <c r="E137" s="88"/>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96"/>
      <c r="AK137" s="196"/>
      <c r="AL137" s="196"/>
      <c r="AM137" s="196"/>
      <c r="AN137" s="196"/>
      <c r="AO137" s="196"/>
      <c r="AP137" s="196"/>
      <c r="AQ137" s="196"/>
      <c r="AR137" s="196"/>
      <c r="AS137" s="196"/>
    </row>
    <row r="138" spans="1:45" ht="15.75" customHeight="1">
      <c r="A138" s="196"/>
      <c r="B138" s="196"/>
      <c r="C138" s="88"/>
      <c r="D138" s="88"/>
      <c r="E138" s="88"/>
      <c r="F138" s="196"/>
      <c r="G138" s="196"/>
      <c r="H138" s="196"/>
      <c r="I138" s="196"/>
      <c r="J138" s="196"/>
      <c r="K138" s="196"/>
      <c r="L138" s="196"/>
      <c r="M138" s="196"/>
      <c r="N138" s="196"/>
      <c r="O138" s="196"/>
      <c r="P138" s="196"/>
      <c r="Q138" s="196"/>
      <c r="R138" s="196"/>
      <c r="S138" s="196"/>
      <c r="T138" s="196"/>
      <c r="U138" s="196"/>
      <c r="V138" s="196"/>
      <c r="W138" s="196"/>
      <c r="X138" s="196"/>
      <c r="Y138" s="196"/>
      <c r="Z138" s="196"/>
      <c r="AA138" s="196"/>
      <c r="AB138" s="196"/>
      <c r="AC138" s="196"/>
      <c r="AD138" s="196"/>
      <c r="AE138" s="196"/>
      <c r="AF138" s="196"/>
      <c r="AG138" s="196"/>
      <c r="AH138" s="196"/>
      <c r="AI138" s="196"/>
      <c r="AJ138" s="196"/>
      <c r="AK138" s="196"/>
      <c r="AL138" s="196"/>
      <c r="AM138" s="196"/>
      <c r="AN138" s="196"/>
      <c r="AO138" s="196"/>
      <c r="AP138" s="196"/>
      <c r="AQ138" s="196"/>
      <c r="AR138" s="196"/>
      <c r="AS138" s="196"/>
    </row>
    <row r="139" spans="1:45" ht="15.75" customHeight="1">
      <c r="A139" s="196"/>
      <c r="B139" s="196"/>
      <c r="C139" s="88"/>
      <c r="D139" s="88"/>
      <c r="E139" s="88"/>
      <c r="F139" s="196"/>
      <c r="G139" s="196"/>
      <c r="H139" s="196"/>
      <c r="I139" s="196"/>
      <c r="J139" s="196"/>
      <c r="K139" s="196"/>
      <c r="L139" s="196"/>
      <c r="M139" s="196"/>
      <c r="N139" s="196"/>
      <c r="O139" s="196"/>
      <c r="P139" s="196"/>
      <c r="Q139" s="196"/>
      <c r="R139" s="196"/>
      <c r="S139" s="196"/>
      <c r="T139" s="196"/>
      <c r="U139" s="196"/>
      <c r="V139" s="196"/>
      <c r="W139" s="196"/>
      <c r="X139" s="196"/>
      <c r="Y139" s="196"/>
      <c r="Z139" s="196"/>
      <c r="AA139" s="196"/>
      <c r="AB139" s="196"/>
      <c r="AC139" s="196"/>
      <c r="AD139" s="196"/>
      <c r="AE139" s="196"/>
      <c r="AF139" s="196"/>
      <c r="AG139" s="196"/>
      <c r="AH139" s="196"/>
      <c r="AI139" s="196"/>
      <c r="AJ139" s="196"/>
      <c r="AK139" s="196"/>
      <c r="AL139" s="196"/>
      <c r="AM139" s="196"/>
      <c r="AN139" s="196"/>
      <c r="AO139" s="196"/>
      <c r="AP139" s="196"/>
      <c r="AQ139" s="196"/>
      <c r="AR139" s="196"/>
      <c r="AS139" s="196"/>
    </row>
    <row r="140" spans="1:45" ht="15.75" customHeight="1">
      <c r="A140" s="196"/>
      <c r="B140" s="196"/>
      <c r="C140" s="88"/>
      <c r="D140" s="88"/>
      <c r="E140" s="88"/>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96"/>
      <c r="AM140" s="196"/>
      <c r="AN140" s="196"/>
      <c r="AO140" s="196"/>
      <c r="AP140" s="196"/>
      <c r="AQ140" s="196"/>
      <c r="AR140" s="196"/>
      <c r="AS140" s="196"/>
    </row>
    <row r="141" spans="1:45" ht="15.75" customHeight="1">
      <c r="A141" s="196"/>
      <c r="B141" s="196"/>
      <c r="C141" s="88"/>
      <c r="D141" s="88"/>
      <c r="E141" s="88"/>
      <c r="F141" s="196"/>
      <c r="G141" s="196"/>
      <c r="H141" s="196"/>
      <c r="I141" s="196"/>
      <c r="J141" s="196"/>
      <c r="K141" s="196"/>
      <c r="L141" s="196"/>
      <c r="M141" s="196"/>
      <c r="N141" s="196"/>
      <c r="O141" s="196"/>
      <c r="P141" s="196"/>
      <c r="Q141" s="196"/>
      <c r="R141" s="196"/>
      <c r="S141" s="196"/>
      <c r="T141" s="196"/>
      <c r="U141" s="196"/>
      <c r="V141" s="196"/>
      <c r="W141" s="196"/>
      <c r="X141" s="196"/>
      <c r="Y141" s="196"/>
      <c r="Z141" s="196"/>
      <c r="AA141" s="196"/>
      <c r="AB141" s="196"/>
      <c r="AC141" s="196"/>
      <c r="AD141" s="196"/>
      <c r="AE141" s="196"/>
      <c r="AF141" s="196"/>
      <c r="AG141" s="196"/>
      <c r="AH141" s="196"/>
      <c r="AI141" s="196"/>
      <c r="AJ141" s="196"/>
      <c r="AK141" s="196"/>
      <c r="AL141" s="196"/>
      <c r="AM141" s="196"/>
      <c r="AN141" s="196"/>
      <c r="AO141" s="196"/>
      <c r="AP141" s="196"/>
      <c r="AQ141" s="196"/>
      <c r="AR141" s="196"/>
      <c r="AS141" s="196"/>
    </row>
    <row r="142" spans="1:45" ht="15.75" customHeight="1">
      <c r="A142" s="196"/>
      <c r="B142" s="196"/>
      <c r="C142" s="88"/>
      <c r="D142" s="88"/>
      <c r="E142" s="88"/>
      <c r="F142" s="196"/>
      <c r="G142" s="196"/>
      <c r="H142" s="196"/>
      <c r="I142" s="196"/>
      <c r="J142" s="196"/>
      <c r="K142" s="196"/>
      <c r="L142" s="196"/>
      <c r="M142" s="196"/>
      <c r="N142" s="196"/>
      <c r="O142" s="196"/>
      <c r="P142" s="196"/>
      <c r="Q142" s="196"/>
      <c r="R142" s="196"/>
      <c r="S142" s="196"/>
      <c r="T142" s="196"/>
      <c r="U142" s="196"/>
      <c r="V142" s="196"/>
      <c r="W142" s="196"/>
      <c r="X142" s="196"/>
      <c r="Y142" s="196"/>
      <c r="Z142" s="196"/>
      <c r="AA142" s="196"/>
      <c r="AB142" s="196"/>
      <c r="AC142" s="196"/>
      <c r="AD142" s="196"/>
      <c r="AE142" s="196"/>
      <c r="AF142" s="196"/>
      <c r="AG142" s="196"/>
      <c r="AH142" s="196"/>
      <c r="AI142" s="196"/>
      <c r="AJ142" s="196"/>
      <c r="AK142" s="196"/>
      <c r="AL142" s="196"/>
      <c r="AM142" s="196"/>
      <c r="AN142" s="196"/>
      <c r="AO142" s="196"/>
      <c r="AP142" s="196"/>
      <c r="AQ142" s="196"/>
      <c r="AR142" s="196"/>
      <c r="AS142" s="196"/>
    </row>
    <row r="143" spans="1:45" ht="15.75" customHeight="1">
      <c r="A143" s="196"/>
      <c r="B143" s="196"/>
      <c r="C143" s="88"/>
      <c r="D143" s="88"/>
      <c r="E143" s="88"/>
      <c r="F143" s="196"/>
      <c r="G143" s="196"/>
      <c r="H143" s="196"/>
      <c r="I143" s="196"/>
      <c r="J143" s="196"/>
      <c r="K143" s="196"/>
      <c r="L143" s="196"/>
      <c r="M143" s="196"/>
      <c r="N143" s="196"/>
      <c r="O143" s="196"/>
      <c r="P143" s="196"/>
      <c r="Q143" s="196"/>
      <c r="R143" s="196"/>
      <c r="S143" s="196"/>
      <c r="T143" s="196"/>
      <c r="U143" s="196"/>
      <c r="V143" s="196"/>
      <c r="W143" s="196"/>
      <c r="X143" s="196"/>
      <c r="Y143" s="196"/>
      <c r="Z143" s="196"/>
      <c r="AA143" s="196"/>
      <c r="AB143" s="196"/>
      <c r="AC143" s="196"/>
      <c r="AD143" s="196"/>
      <c r="AE143" s="196"/>
      <c r="AF143" s="196"/>
      <c r="AG143" s="196"/>
      <c r="AH143" s="196"/>
      <c r="AI143" s="196"/>
      <c r="AJ143" s="196"/>
      <c r="AK143" s="196"/>
      <c r="AL143" s="196"/>
      <c r="AM143" s="196"/>
      <c r="AN143" s="196"/>
      <c r="AO143" s="196"/>
      <c r="AP143" s="196"/>
      <c r="AQ143" s="196"/>
      <c r="AR143" s="196"/>
      <c r="AS143" s="196"/>
    </row>
    <row r="144" spans="1:45" ht="15.75" customHeight="1">
      <c r="A144" s="196"/>
      <c r="B144" s="196"/>
      <c r="C144" s="88"/>
      <c r="D144" s="88"/>
      <c r="E144" s="88"/>
      <c r="F144" s="196"/>
      <c r="G144" s="196"/>
      <c r="H144" s="196"/>
      <c r="I144" s="196"/>
      <c r="J144" s="196"/>
      <c r="K144" s="196"/>
      <c r="L144" s="196"/>
      <c r="M144" s="196"/>
      <c r="N144" s="196"/>
      <c r="O144" s="196"/>
      <c r="P144" s="196"/>
      <c r="Q144" s="196"/>
      <c r="R144" s="196"/>
      <c r="S144" s="196"/>
      <c r="T144" s="196"/>
      <c r="U144" s="196"/>
      <c r="V144" s="196"/>
      <c r="W144" s="196"/>
      <c r="X144" s="196"/>
      <c r="Y144" s="196"/>
      <c r="Z144" s="196"/>
      <c r="AA144" s="196"/>
      <c r="AB144" s="196"/>
      <c r="AC144" s="196"/>
      <c r="AD144" s="196"/>
      <c r="AE144" s="196"/>
      <c r="AF144" s="196"/>
      <c r="AG144" s="196"/>
      <c r="AH144" s="196"/>
      <c r="AI144" s="196"/>
      <c r="AJ144" s="196"/>
      <c r="AK144" s="196"/>
      <c r="AL144" s="196"/>
      <c r="AM144" s="196"/>
      <c r="AN144" s="196"/>
      <c r="AO144" s="196"/>
      <c r="AP144" s="196"/>
      <c r="AQ144" s="196"/>
      <c r="AR144" s="196"/>
      <c r="AS144" s="196"/>
    </row>
    <row r="145" spans="1:45" ht="15.75" customHeight="1">
      <c r="A145" s="196"/>
      <c r="B145" s="196"/>
      <c r="C145" s="88"/>
      <c r="D145" s="88"/>
      <c r="E145" s="88"/>
      <c r="F145" s="196"/>
      <c r="G145" s="196"/>
      <c r="H145" s="196"/>
      <c r="I145" s="196"/>
      <c r="J145" s="196"/>
      <c r="K145" s="196"/>
      <c r="L145" s="196"/>
      <c r="M145" s="196"/>
      <c r="N145" s="196"/>
      <c r="O145" s="196"/>
      <c r="P145" s="196"/>
      <c r="Q145" s="196"/>
      <c r="R145" s="196"/>
      <c r="S145" s="196"/>
      <c r="T145" s="196"/>
      <c r="U145" s="196"/>
      <c r="V145" s="196"/>
      <c r="W145" s="196"/>
      <c r="X145" s="196"/>
      <c r="Y145" s="196"/>
      <c r="Z145" s="196"/>
      <c r="AA145" s="196"/>
      <c r="AB145" s="196"/>
      <c r="AC145" s="196"/>
      <c r="AD145" s="196"/>
      <c r="AE145" s="196"/>
      <c r="AF145" s="196"/>
      <c r="AG145" s="196"/>
      <c r="AH145" s="196"/>
      <c r="AI145" s="196"/>
      <c r="AJ145" s="196"/>
      <c r="AK145" s="196"/>
      <c r="AL145" s="196"/>
      <c r="AM145" s="196"/>
      <c r="AN145" s="196"/>
      <c r="AO145" s="196"/>
      <c r="AP145" s="196"/>
      <c r="AQ145" s="196"/>
      <c r="AR145" s="196"/>
      <c r="AS145" s="196"/>
    </row>
    <row r="146" spans="1:45" ht="15.75" customHeight="1">
      <c r="A146" s="196"/>
      <c r="B146" s="196"/>
      <c r="C146" s="88"/>
      <c r="D146" s="88"/>
      <c r="E146" s="88"/>
      <c r="F146" s="196"/>
      <c r="G146" s="196"/>
      <c r="H146" s="196"/>
      <c r="I146" s="196"/>
      <c r="J146" s="196"/>
      <c r="K146" s="196"/>
      <c r="L146" s="196"/>
      <c r="M146" s="196"/>
      <c r="N146" s="196"/>
      <c r="O146" s="196"/>
      <c r="P146" s="196"/>
      <c r="Q146" s="196"/>
      <c r="R146" s="196"/>
      <c r="S146" s="196"/>
      <c r="T146" s="196"/>
      <c r="U146" s="196"/>
      <c r="V146" s="196"/>
      <c r="W146" s="196"/>
      <c r="X146" s="196"/>
      <c r="Y146" s="196"/>
      <c r="Z146" s="196"/>
      <c r="AA146" s="196"/>
      <c r="AB146" s="196"/>
      <c r="AC146" s="196"/>
      <c r="AD146" s="196"/>
      <c r="AE146" s="196"/>
      <c r="AF146" s="196"/>
      <c r="AG146" s="196"/>
      <c r="AH146" s="196"/>
      <c r="AI146" s="196"/>
      <c r="AJ146" s="196"/>
      <c r="AK146" s="196"/>
      <c r="AL146" s="196"/>
      <c r="AM146" s="196"/>
      <c r="AN146" s="196"/>
      <c r="AO146" s="196"/>
      <c r="AP146" s="196"/>
      <c r="AQ146" s="196"/>
      <c r="AR146" s="196"/>
      <c r="AS146" s="196"/>
    </row>
    <row r="147" spans="1:45" ht="15.75" customHeight="1">
      <c r="A147" s="196"/>
      <c r="B147" s="196"/>
      <c r="C147" s="88"/>
      <c r="D147" s="88"/>
      <c r="E147" s="88"/>
      <c r="F147" s="196"/>
      <c r="G147" s="196"/>
      <c r="H147" s="196"/>
      <c r="I147" s="196"/>
      <c r="J147" s="196"/>
      <c r="K147" s="196"/>
      <c r="L147" s="196"/>
      <c r="M147" s="196"/>
      <c r="N147" s="196"/>
      <c r="O147" s="196"/>
      <c r="P147" s="196"/>
      <c r="Q147" s="196"/>
      <c r="R147" s="196"/>
      <c r="S147" s="196"/>
      <c r="T147" s="196"/>
      <c r="U147" s="196"/>
      <c r="V147" s="196"/>
      <c r="W147" s="196"/>
      <c r="X147" s="196"/>
      <c r="Y147" s="196"/>
      <c r="Z147" s="196"/>
      <c r="AA147" s="196"/>
      <c r="AB147" s="196"/>
      <c r="AC147" s="196"/>
      <c r="AD147" s="196"/>
      <c r="AE147" s="196"/>
      <c r="AF147" s="196"/>
      <c r="AG147" s="196"/>
      <c r="AH147" s="196"/>
      <c r="AI147" s="196"/>
      <c r="AJ147" s="196"/>
      <c r="AK147" s="196"/>
      <c r="AL147" s="196"/>
      <c r="AM147" s="196"/>
      <c r="AN147" s="196"/>
      <c r="AO147" s="196"/>
      <c r="AP147" s="196"/>
      <c r="AQ147" s="196"/>
      <c r="AR147" s="196"/>
      <c r="AS147" s="196"/>
    </row>
    <row r="148" spans="1:45" ht="15.75" customHeight="1">
      <c r="A148" s="196"/>
      <c r="B148" s="196"/>
      <c r="C148" s="88"/>
      <c r="D148" s="88"/>
      <c r="E148" s="88"/>
      <c r="F148" s="196"/>
      <c r="G148" s="196"/>
      <c r="H148" s="196"/>
      <c r="I148" s="196"/>
      <c r="J148" s="196"/>
      <c r="K148" s="196"/>
      <c r="L148" s="196"/>
      <c r="M148" s="196"/>
      <c r="N148" s="196"/>
      <c r="O148" s="196"/>
      <c r="P148" s="196"/>
      <c r="Q148" s="196"/>
      <c r="R148" s="196"/>
      <c r="S148" s="196"/>
      <c r="T148" s="196"/>
      <c r="U148" s="196"/>
      <c r="V148" s="196"/>
      <c r="W148" s="196"/>
      <c r="X148" s="196"/>
      <c r="Y148" s="196"/>
      <c r="Z148" s="196"/>
      <c r="AA148" s="196"/>
      <c r="AB148" s="196"/>
      <c r="AC148" s="196"/>
      <c r="AD148" s="196"/>
      <c r="AE148" s="196"/>
      <c r="AF148" s="196"/>
      <c r="AG148" s="196"/>
      <c r="AH148" s="196"/>
      <c r="AI148" s="196"/>
      <c r="AJ148" s="196"/>
      <c r="AK148" s="196"/>
      <c r="AL148" s="196"/>
      <c r="AM148" s="196"/>
      <c r="AN148" s="196"/>
      <c r="AO148" s="196"/>
      <c r="AP148" s="196"/>
      <c r="AQ148" s="196"/>
      <c r="AR148" s="196"/>
      <c r="AS148" s="196"/>
    </row>
    <row r="149" spans="1:45" ht="15.75" customHeight="1">
      <c r="A149" s="196"/>
      <c r="B149" s="196"/>
      <c r="C149" s="88"/>
      <c r="D149" s="88"/>
      <c r="E149" s="88"/>
      <c r="F149" s="196"/>
      <c r="G149" s="196"/>
      <c r="H149" s="196"/>
      <c r="I149" s="196"/>
      <c r="J149" s="196"/>
      <c r="K149" s="196"/>
      <c r="L149" s="196"/>
      <c r="M149" s="196"/>
      <c r="N149" s="196"/>
      <c r="O149" s="196"/>
      <c r="P149" s="196"/>
      <c r="Q149" s="196"/>
      <c r="R149" s="196"/>
      <c r="S149" s="196"/>
      <c r="T149" s="196"/>
      <c r="U149" s="196"/>
      <c r="V149" s="196"/>
      <c r="W149" s="196"/>
      <c r="X149" s="196"/>
      <c r="Y149" s="196"/>
      <c r="Z149" s="196"/>
      <c r="AA149" s="196"/>
      <c r="AB149" s="196"/>
      <c r="AC149" s="196"/>
      <c r="AD149" s="196"/>
      <c r="AE149" s="196"/>
      <c r="AF149" s="196"/>
      <c r="AG149" s="196"/>
      <c r="AH149" s="196"/>
      <c r="AI149" s="196"/>
      <c r="AJ149" s="196"/>
      <c r="AK149" s="196"/>
      <c r="AL149" s="196"/>
      <c r="AM149" s="196"/>
      <c r="AN149" s="196"/>
      <c r="AO149" s="196"/>
      <c r="AP149" s="196"/>
      <c r="AQ149" s="196"/>
      <c r="AR149" s="196"/>
      <c r="AS149" s="196"/>
    </row>
    <row r="150" spans="1:45" ht="15.75" customHeight="1">
      <c r="A150" s="196"/>
      <c r="B150" s="196"/>
      <c r="C150" s="88"/>
      <c r="D150" s="88"/>
      <c r="E150" s="88"/>
      <c r="F150" s="196"/>
      <c r="G150" s="196"/>
      <c r="H150" s="196"/>
      <c r="I150" s="196"/>
      <c r="J150" s="196"/>
      <c r="K150" s="196"/>
      <c r="L150" s="196"/>
      <c r="M150" s="196"/>
      <c r="N150" s="196"/>
      <c r="O150" s="196"/>
      <c r="P150" s="196"/>
      <c r="Q150" s="196"/>
      <c r="R150" s="196"/>
      <c r="S150" s="196"/>
      <c r="T150" s="196"/>
      <c r="U150" s="196"/>
      <c r="V150" s="196"/>
      <c r="W150" s="196"/>
      <c r="X150" s="196"/>
      <c r="Y150" s="196"/>
      <c r="Z150" s="196"/>
      <c r="AA150" s="196"/>
      <c r="AB150" s="196"/>
      <c r="AC150" s="196"/>
      <c r="AD150" s="196"/>
      <c r="AE150" s="196"/>
      <c r="AF150" s="196"/>
      <c r="AG150" s="196"/>
      <c r="AH150" s="196"/>
      <c r="AI150" s="196"/>
      <c r="AJ150" s="196"/>
      <c r="AK150" s="196"/>
      <c r="AL150" s="196"/>
      <c r="AM150" s="196"/>
      <c r="AN150" s="196"/>
      <c r="AO150" s="196"/>
      <c r="AP150" s="196"/>
      <c r="AQ150" s="196"/>
      <c r="AR150" s="196"/>
      <c r="AS150" s="196"/>
    </row>
    <row r="151" spans="1:45" ht="15.75" customHeight="1">
      <c r="A151" s="196"/>
      <c r="B151" s="196"/>
      <c r="C151" s="88"/>
      <c r="D151" s="88"/>
      <c r="E151" s="88"/>
      <c r="F151" s="196"/>
      <c r="G151" s="196"/>
      <c r="H151" s="196"/>
      <c r="I151" s="196"/>
      <c r="J151" s="196"/>
      <c r="K151" s="196"/>
      <c r="L151" s="196"/>
      <c r="M151" s="196"/>
      <c r="N151" s="196"/>
      <c r="O151" s="196"/>
      <c r="P151" s="196"/>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row>
    <row r="152" spans="1:45" ht="15.75" customHeight="1">
      <c r="A152" s="196"/>
      <c r="B152" s="196"/>
      <c r="C152" s="88"/>
      <c r="D152" s="88"/>
      <c r="E152" s="88"/>
      <c r="F152" s="196"/>
      <c r="G152" s="196"/>
      <c r="H152" s="196"/>
      <c r="I152" s="196"/>
      <c r="J152" s="196"/>
      <c r="K152" s="196"/>
      <c r="L152" s="196"/>
      <c r="M152" s="196"/>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c r="AR152" s="196"/>
      <c r="AS152" s="196"/>
    </row>
    <row r="153" spans="1:45" ht="15.75" customHeight="1">
      <c r="A153" s="196"/>
      <c r="B153" s="196"/>
      <c r="C153" s="88"/>
      <c r="D153" s="88"/>
      <c r="E153" s="88"/>
      <c r="F153" s="196"/>
      <c r="G153" s="196"/>
      <c r="H153" s="196"/>
      <c r="I153" s="196"/>
      <c r="J153" s="196"/>
      <c r="K153" s="196"/>
      <c r="L153" s="196"/>
      <c r="M153" s="196"/>
      <c r="N153" s="196"/>
      <c r="O153" s="196"/>
      <c r="P153" s="196"/>
      <c r="Q153" s="196"/>
      <c r="R153" s="196"/>
      <c r="S153" s="196"/>
      <c r="T153" s="196"/>
      <c r="U153" s="196"/>
      <c r="V153" s="196"/>
      <c r="W153" s="196"/>
      <c r="X153" s="196"/>
      <c r="Y153" s="196"/>
      <c r="Z153" s="196"/>
      <c r="AA153" s="196"/>
      <c r="AB153" s="196"/>
      <c r="AC153" s="196"/>
      <c r="AD153" s="196"/>
      <c r="AE153" s="196"/>
      <c r="AF153" s="196"/>
      <c r="AG153" s="196"/>
      <c r="AH153" s="196"/>
      <c r="AI153" s="196"/>
      <c r="AJ153" s="196"/>
      <c r="AK153" s="196"/>
      <c r="AL153" s="196"/>
      <c r="AM153" s="196"/>
      <c r="AN153" s="196"/>
      <c r="AO153" s="196"/>
      <c r="AP153" s="196"/>
      <c r="AQ153" s="196"/>
      <c r="AR153" s="196"/>
      <c r="AS153" s="196"/>
    </row>
    <row r="154" spans="1:45" ht="15.75" customHeight="1">
      <c r="A154" s="196"/>
      <c r="B154" s="196"/>
      <c r="C154" s="88"/>
      <c r="D154" s="88"/>
      <c r="E154" s="88"/>
      <c r="F154" s="196"/>
      <c r="G154" s="196"/>
      <c r="H154" s="196"/>
      <c r="I154" s="196"/>
      <c r="J154" s="196"/>
      <c r="K154" s="196"/>
      <c r="L154" s="196"/>
      <c r="M154" s="196"/>
      <c r="N154" s="196"/>
      <c r="O154" s="196"/>
      <c r="P154" s="196"/>
      <c r="Q154" s="196"/>
      <c r="R154" s="196"/>
      <c r="S154" s="196"/>
      <c r="T154" s="196"/>
      <c r="U154" s="196"/>
      <c r="V154" s="196"/>
      <c r="W154" s="196"/>
      <c r="X154" s="196"/>
      <c r="Y154" s="196"/>
      <c r="Z154" s="196"/>
      <c r="AA154" s="196"/>
      <c r="AB154" s="196"/>
      <c r="AC154" s="196"/>
      <c r="AD154" s="196"/>
      <c r="AE154" s="196"/>
      <c r="AF154" s="196"/>
      <c r="AG154" s="196"/>
      <c r="AH154" s="196"/>
      <c r="AI154" s="196"/>
      <c r="AJ154" s="196"/>
      <c r="AK154" s="196"/>
      <c r="AL154" s="196"/>
      <c r="AM154" s="196"/>
      <c r="AN154" s="196"/>
      <c r="AO154" s="196"/>
      <c r="AP154" s="196"/>
      <c r="AQ154" s="196"/>
      <c r="AR154" s="196"/>
      <c r="AS154" s="196"/>
    </row>
    <row r="155" spans="1:45" ht="15.75" customHeight="1">
      <c r="A155" s="196"/>
      <c r="B155" s="196"/>
      <c r="C155" s="88"/>
      <c r="D155" s="88"/>
      <c r="E155" s="88"/>
      <c r="F155" s="196"/>
      <c r="G155" s="196"/>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c r="AE155" s="196"/>
      <c r="AF155" s="196"/>
      <c r="AG155" s="196"/>
      <c r="AH155" s="196"/>
      <c r="AI155" s="196"/>
      <c r="AJ155" s="196"/>
      <c r="AK155" s="196"/>
      <c r="AL155" s="196"/>
      <c r="AM155" s="196"/>
      <c r="AN155" s="196"/>
      <c r="AO155" s="196"/>
      <c r="AP155" s="196"/>
      <c r="AQ155" s="196"/>
      <c r="AR155" s="196"/>
      <c r="AS155" s="196"/>
    </row>
    <row r="156" spans="1:45" ht="15.75" customHeight="1">
      <c r="A156" s="196"/>
      <c r="B156" s="196"/>
      <c r="C156" s="88"/>
      <c r="D156" s="88"/>
      <c r="E156" s="88"/>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196"/>
      <c r="AH156" s="196"/>
      <c r="AI156" s="196"/>
      <c r="AJ156" s="196"/>
      <c r="AK156" s="196"/>
      <c r="AL156" s="196"/>
      <c r="AM156" s="196"/>
      <c r="AN156" s="196"/>
      <c r="AO156" s="196"/>
      <c r="AP156" s="196"/>
      <c r="AQ156" s="196"/>
      <c r="AR156" s="196"/>
      <c r="AS156" s="196"/>
    </row>
    <row r="157" spans="1:45" ht="15.75" customHeight="1">
      <c r="A157" s="196"/>
      <c r="B157" s="196"/>
      <c r="C157" s="88"/>
      <c r="D157" s="88"/>
      <c r="E157" s="88"/>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196"/>
      <c r="AN157" s="196"/>
      <c r="AO157" s="196"/>
      <c r="AP157" s="196"/>
      <c r="AQ157" s="196"/>
      <c r="AR157" s="196"/>
      <c r="AS157" s="196"/>
    </row>
    <row r="158" spans="1:45" ht="15.75" customHeight="1">
      <c r="A158" s="196"/>
      <c r="B158" s="196"/>
      <c r="C158" s="88"/>
      <c r="D158" s="88"/>
      <c r="E158" s="88"/>
      <c r="F158" s="196"/>
      <c r="G158" s="196"/>
      <c r="H158" s="196"/>
      <c r="I158" s="196"/>
      <c r="J158" s="196"/>
      <c r="K158" s="196"/>
      <c r="L158" s="196"/>
      <c r="M158" s="196"/>
      <c r="N158" s="196"/>
      <c r="O158" s="196"/>
      <c r="P158" s="196"/>
      <c r="Q158" s="196"/>
      <c r="R158" s="196"/>
      <c r="S158" s="196"/>
      <c r="T158" s="196"/>
      <c r="U158" s="196"/>
      <c r="V158" s="196"/>
      <c r="W158" s="196"/>
      <c r="X158" s="196"/>
      <c r="Y158" s="196"/>
      <c r="Z158" s="196"/>
      <c r="AA158" s="196"/>
      <c r="AB158" s="196"/>
      <c r="AC158" s="196"/>
      <c r="AD158" s="196"/>
      <c r="AE158" s="196"/>
      <c r="AF158" s="196"/>
      <c r="AG158" s="196"/>
      <c r="AH158" s="196"/>
      <c r="AI158" s="196"/>
      <c r="AJ158" s="196"/>
      <c r="AK158" s="196"/>
      <c r="AL158" s="196"/>
      <c r="AM158" s="196"/>
      <c r="AN158" s="196"/>
      <c r="AO158" s="196"/>
      <c r="AP158" s="196"/>
      <c r="AQ158" s="196"/>
      <c r="AR158" s="196"/>
      <c r="AS158" s="196"/>
    </row>
    <row r="159" spans="1:45" ht="15.75" customHeight="1">
      <c r="A159" s="196"/>
      <c r="B159" s="196"/>
      <c r="C159" s="88"/>
      <c r="D159" s="88"/>
      <c r="E159" s="88"/>
      <c r="F159" s="196"/>
      <c r="G159" s="196"/>
      <c r="H159" s="196"/>
      <c r="I159" s="196"/>
      <c r="J159" s="196"/>
      <c r="K159" s="196"/>
      <c r="L159" s="196"/>
      <c r="M159" s="196"/>
      <c r="N159" s="196"/>
      <c r="O159" s="196"/>
      <c r="P159" s="196"/>
      <c r="Q159" s="196"/>
      <c r="R159" s="196"/>
      <c r="S159" s="196"/>
      <c r="T159" s="196"/>
      <c r="U159" s="196"/>
      <c r="V159" s="196"/>
      <c r="W159" s="196"/>
      <c r="X159" s="196"/>
      <c r="Y159" s="196"/>
      <c r="Z159" s="196"/>
      <c r="AA159" s="196"/>
      <c r="AB159" s="196"/>
      <c r="AC159" s="196"/>
      <c r="AD159" s="196"/>
      <c r="AE159" s="196"/>
      <c r="AF159" s="196"/>
      <c r="AG159" s="196"/>
      <c r="AH159" s="196"/>
      <c r="AI159" s="196"/>
      <c r="AJ159" s="196"/>
      <c r="AK159" s="196"/>
      <c r="AL159" s="196"/>
      <c r="AM159" s="196"/>
      <c r="AN159" s="196"/>
      <c r="AO159" s="196"/>
      <c r="AP159" s="196"/>
      <c r="AQ159" s="196"/>
      <c r="AR159" s="196"/>
      <c r="AS159" s="196"/>
    </row>
    <row r="160" spans="1:45" ht="15.75" customHeight="1">
      <c r="A160" s="196"/>
      <c r="B160" s="196"/>
      <c r="C160" s="88"/>
      <c r="D160" s="88"/>
      <c r="E160" s="88"/>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row>
    <row r="161" spans="1:45" ht="15.75" customHeight="1">
      <c r="A161" s="196"/>
      <c r="B161" s="196"/>
      <c r="C161" s="88"/>
      <c r="D161" s="88"/>
      <c r="E161" s="88"/>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6"/>
      <c r="AE161" s="196"/>
      <c r="AF161" s="196"/>
      <c r="AG161" s="196"/>
      <c r="AH161" s="196"/>
      <c r="AI161" s="196"/>
      <c r="AJ161" s="196"/>
      <c r="AK161" s="196"/>
      <c r="AL161" s="196"/>
      <c r="AM161" s="196"/>
      <c r="AN161" s="196"/>
      <c r="AO161" s="196"/>
      <c r="AP161" s="196"/>
      <c r="AQ161" s="196"/>
      <c r="AR161" s="196"/>
      <c r="AS161" s="196"/>
    </row>
    <row r="162" spans="1:45" ht="15.75" customHeight="1">
      <c r="A162" s="196"/>
      <c r="B162" s="196"/>
      <c r="C162" s="88"/>
      <c r="D162" s="88"/>
      <c r="E162" s="88"/>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c r="AK162" s="196"/>
      <c r="AL162" s="196"/>
      <c r="AM162" s="196"/>
      <c r="AN162" s="196"/>
      <c r="AO162" s="196"/>
      <c r="AP162" s="196"/>
      <c r="AQ162" s="196"/>
      <c r="AR162" s="196"/>
      <c r="AS162" s="196"/>
    </row>
    <row r="163" spans="1:45" ht="15.75" customHeight="1">
      <c r="A163" s="196"/>
      <c r="B163" s="196"/>
      <c r="C163" s="88"/>
      <c r="D163" s="88"/>
      <c r="E163" s="88"/>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c r="AK163" s="196"/>
      <c r="AL163" s="196"/>
      <c r="AM163" s="196"/>
      <c r="AN163" s="196"/>
      <c r="AO163" s="196"/>
      <c r="AP163" s="196"/>
      <c r="AQ163" s="196"/>
      <c r="AR163" s="196"/>
      <c r="AS163" s="196"/>
    </row>
    <row r="164" spans="1:45" ht="15.75" customHeight="1">
      <c r="A164" s="196"/>
      <c r="B164" s="196"/>
      <c r="C164" s="88"/>
      <c r="D164" s="88"/>
      <c r="E164" s="88"/>
      <c r="F164" s="196"/>
      <c r="G164" s="196"/>
      <c r="H164" s="196"/>
      <c r="I164" s="196"/>
      <c r="J164" s="196"/>
      <c r="K164" s="196"/>
      <c r="L164" s="196"/>
      <c r="M164" s="196"/>
      <c r="N164" s="196"/>
      <c r="O164" s="196"/>
      <c r="P164" s="196"/>
      <c r="Q164" s="196"/>
      <c r="R164" s="196"/>
      <c r="S164" s="196"/>
      <c r="T164" s="196"/>
      <c r="U164" s="196"/>
      <c r="V164" s="196"/>
      <c r="W164" s="196"/>
      <c r="X164" s="196"/>
      <c r="Y164" s="196"/>
      <c r="Z164" s="196"/>
      <c r="AA164" s="196"/>
      <c r="AB164" s="196"/>
      <c r="AC164" s="196"/>
      <c r="AD164" s="196"/>
      <c r="AE164" s="196"/>
      <c r="AF164" s="196"/>
      <c r="AG164" s="196"/>
      <c r="AH164" s="196"/>
      <c r="AI164" s="196"/>
      <c r="AJ164" s="196"/>
      <c r="AK164" s="196"/>
      <c r="AL164" s="196"/>
      <c r="AM164" s="196"/>
      <c r="AN164" s="196"/>
      <c r="AO164" s="196"/>
      <c r="AP164" s="196"/>
      <c r="AQ164" s="196"/>
      <c r="AR164" s="196"/>
      <c r="AS164" s="196"/>
    </row>
    <row r="165" spans="1:45" ht="15.75" customHeight="1">
      <c r="A165" s="196"/>
      <c r="B165" s="196"/>
      <c r="C165" s="88"/>
      <c r="D165" s="88"/>
      <c r="E165" s="88"/>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c r="AE165" s="196"/>
      <c r="AF165" s="196"/>
      <c r="AG165" s="196"/>
      <c r="AH165" s="196"/>
      <c r="AI165" s="196"/>
      <c r="AJ165" s="196"/>
      <c r="AK165" s="196"/>
      <c r="AL165" s="196"/>
      <c r="AM165" s="196"/>
      <c r="AN165" s="196"/>
      <c r="AO165" s="196"/>
      <c r="AP165" s="196"/>
      <c r="AQ165" s="196"/>
      <c r="AR165" s="196"/>
      <c r="AS165" s="196"/>
    </row>
    <row r="166" spans="1:45" ht="15.75" customHeight="1">
      <c r="A166" s="196"/>
      <c r="B166" s="196"/>
      <c r="C166" s="88"/>
      <c r="D166" s="88"/>
      <c r="E166" s="88"/>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6"/>
      <c r="AN166" s="196"/>
      <c r="AO166" s="196"/>
      <c r="AP166" s="196"/>
      <c r="AQ166" s="196"/>
      <c r="AR166" s="196"/>
      <c r="AS166" s="196"/>
    </row>
    <row r="167" spans="1:45" ht="15.75" customHeight="1">
      <c r="A167" s="196"/>
      <c r="B167" s="196"/>
      <c r="C167" s="88"/>
      <c r="D167" s="88"/>
      <c r="E167" s="88"/>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c r="AD167" s="196"/>
      <c r="AE167" s="196"/>
      <c r="AF167" s="196"/>
      <c r="AG167" s="196"/>
      <c r="AH167" s="196"/>
      <c r="AI167" s="196"/>
      <c r="AJ167" s="196"/>
      <c r="AK167" s="196"/>
      <c r="AL167" s="196"/>
      <c r="AM167" s="196"/>
      <c r="AN167" s="196"/>
      <c r="AO167" s="196"/>
      <c r="AP167" s="196"/>
      <c r="AQ167" s="196"/>
      <c r="AR167" s="196"/>
      <c r="AS167" s="196"/>
    </row>
    <row r="168" spans="1:45" ht="15.75" customHeight="1">
      <c r="A168" s="196"/>
      <c r="B168" s="196"/>
      <c r="C168" s="88"/>
      <c r="D168" s="88"/>
      <c r="E168" s="88"/>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row>
    <row r="169" spans="1:45" ht="15.75" customHeight="1">
      <c r="A169" s="196"/>
      <c r="B169" s="196"/>
      <c r="C169" s="88"/>
      <c r="D169" s="88"/>
      <c r="E169" s="88"/>
      <c r="F169" s="196"/>
      <c r="G169" s="196"/>
      <c r="H169" s="196"/>
      <c r="I169" s="196"/>
      <c r="J169" s="196"/>
      <c r="K169" s="196"/>
      <c r="L169" s="196"/>
      <c r="M169" s="196"/>
      <c r="N169" s="196"/>
      <c r="O169" s="196"/>
      <c r="P169" s="196"/>
      <c r="Q169" s="196"/>
      <c r="R169" s="196"/>
      <c r="S169" s="196"/>
      <c r="T169" s="196"/>
      <c r="U169" s="196"/>
      <c r="V169" s="196"/>
      <c r="W169" s="196"/>
      <c r="X169" s="196"/>
      <c r="Y169" s="196"/>
      <c r="Z169" s="196"/>
      <c r="AA169" s="196"/>
      <c r="AB169" s="196"/>
      <c r="AC169" s="196"/>
      <c r="AD169" s="196"/>
      <c r="AE169" s="196"/>
      <c r="AF169" s="196"/>
      <c r="AG169" s="196"/>
      <c r="AH169" s="196"/>
      <c r="AI169" s="196"/>
      <c r="AJ169" s="196"/>
      <c r="AK169" s="196"/>
      <c r="AL169" s="196"/>
      <c r="AM169" s="196"/>
      <c r="AN169" s="196"/>
      <c r="AO169" s="196"/>
      <c r="AP169" s="196"/>
      <c r="AQ169" s="196"/>
      <c r="AR169" s="196"/>
      <c r="AS169" s="196"/>
    </row>
    <row r="170" spans="1:45" ht="15.75" customHeight="1">
      <c r="A170" s="196"/>
      <c r="B170" s="196"/>
      <c r="C170" s="88"/>
      <c r="D170" s="88"/>
      <c r="E170" s="88"/>
      <c r="F170" s="196"/>
      <c r="G170" s="196"/>
      <c r="H170" s="196"/>
      <c r="I170" s="196"/>
      <c r="J170" s="196"/>
      <c r="K170" s="196"/>
      <c r="L170" s="196"/>
      <c r="M170" s="196"/>
      <c r="N170" s="196"/>
      <c r="O170" s="196"/>
      <c r="P170" s="196"/>
      <c r="Q170" s="196"/>
      <c r="R170" s="196"/>
      <c r="S170" s="196"/>
      <c r="T170" s="196"/>
      <c r="U170" s="196"/>
      <c r="V170" s="196"/>
      <c r="W170" s="196"/>
      <c r="X170" s="196"/>
      <c r="Y170" s="196"/>
      <c r="Z170" s="196"/>
      <c r="AA170" s="196"/>
      <c r="AB170" s="196"/>
      <c r="AC170" s="196"/>
      <c r="AD170" s="196"/>
      <c r="AE170" s="196"/>
      <c r="AF170" s="196"/>
      <c r="AG170" s="196"/>
      <c r="AH170" s="196"/>
      <c r="AI170" s="196"/>
      <c r="AJ170" s="196"/>
      <c r="AK170" s="196"/>
      <c r="AL170" s="196"/>
      <c r="AM170" s="196"/>
      <c r="AN170" s="196"/>
      <c r="AO170" s="196"/>
      <c r="AP170" s="196"/>
      <c r="AQ170" s="196"/>
      <c r="AR170" s="196"/>
      <c r="AS170" s="196"/>
    </row>
    <row r="171" spans="1:45" ht="15.75" customHeight="1">
      <c r="A171" s="196"/>
      <c r="B171" s="196"/>
      <c r="C171" s="88"/>
      <c r="D171" s="88"/>
      <c r="E171" s="88"/>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row>
    <row r="172" spans="1:45" ht="15.75" customHeight="1">
      <c r="A172" s="196"/>
      <c r="B172" s="196"/>
      <c r="C172" s="88"/>
      <c r="D172" s="88"/>
      <c r="E172" s="88"/>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196"/>
      <c r="AB172" s="196"/>
      <c r="AC172" s="196"/>
      <c r="AD172" s="196"/>
      <c r="AE172" s="196"/>
      <c r="AF172" s="196"/>
      <c r="AG172" s="196"/>
      <c r="AH172" s="196"/>
      <c r="AI172" s="196"/>
      <c r="AJ172" s="196"/>
      <c r="AK172" s="196"/>
      <c r="AL172" s="196"/>
      <c r="AM172" s="196"/>
      <c r="AN172" s="196"/>
      <c r="AO172" s="196"/>
      <c r="AP172" s="196"/>
      <c r="AQ172" s="196"/>
      <c r="AR172" s="196"/>
      <c r="AS172" s="196"/>
    </row>
    <row r="173" spans="1:45" ht="15.75" customHeight="1">
      <c r="A173" s="196"/>
      <c r="B173" s="196"/>
      <c r="C173" s="88"/>
      <c r="D173" s="88"/>
      <c r="E173" s="88"/>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196"/>
      <c r="AB173" s="196"/>
      <c r="AC173" s="196"/>
      <c r="AD173" s="196"/>
      <c r="AE173" s="196"/>
      <c r="AF173" s="196"/>
      <c r="AG173" s="196"/>
      <c r="AH173" s="196"/>
      <c r="AI173" s="196"/>
      <c r="AJ173" s="196"/>
      <c r="AK173" s="196"/>
      <c r="AL173" s="196"/>
      <c r="AM173" s="196"/>
      <c r="AN173" s="196"/>
      <c r="AO173" s="196"/>
      <c r="AP173" s="196"/>
      <c r="AQ173" s="196"/>
      <c r="AR173" s="196"/>
      <c r="AS173" s="196"/>
    </row>
    <row r="174" spans="1:45" ht="15.75" customHeight="1">
      <c r="A174" s="196"/>
      <c r="B174" s="196"/>
      <c r="C174" s="88"/>
      <c r="D174" s="88"/>
      <c r="E174" s="88"/>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196"/>
      <c r="AB174" s="196"/>
      <c r="AC174" s="196"/>
      <c r="AD174" s="196"/>
      <c r="AE174" s="196"/>
      <c r="AF174" s="196"/>
      <c r="AG174" s="196"/>
      <c r="AH174" s="196"/>
      <c r="AI174" s="196"/>
      <c r="AJ174" s="196"/>
      <c r="AK174" s="196"/>
      <c r="AL174" s="196"/>
      <c r="AM174" s="196"/>
      <c r="AN174" s="196"/>
      <c r="AO174" s="196"/>
      <c r="AP174" s="196"/>
      <c r="AQ174" s="196"/>
      <c r="AR174" s="196"/>
      <c r="AS174" s="196"/>
    </row>
    <row r="175" spans="1:45" ht="15.75" customHeight="1">
      <c r="A175" s="196"/>
      <c r="B175" s="196"/>
      <c r="C175" s="88"/>
      <c r="D175" s="88"/>
      <c r="E175" s="88"/>
      <c r="F175" s="196"/>
      <c r="G175" s="196"/>
      <c r="H175" s="196"/>
      <c r="I175" s="196"/>
      <c r="J175" s="196"/>
      <c r="K175" s="196"/>
      <c r="L175" s="196"/>
      <c r="M175" s="196"/>
      <c r="N175" s="196"/>
      <c r="O175" s="196"/>
      <c r="P175" s="196"/>
      <c r="Q175" s="196"/>
      <c r="R175" s="196"/>
      <c r="S175" s="196"/>
      <c r="T175" s="196"/>
      <c r="U175" s="196"/>
      <c r="V175" s="196"/>
      <c r="W175" s="196"/>
      <c r="X175" s="196"/>
      <c r="Y175" s="196"/>
      <c r="Z175" s="196"/>
      <c r="AA175" s="196"/>
      <c r="AB175" s="196"/>
      <c r="AC175" s="196"/>
      <c r="AD175" s="196"/>
      <c r="AE175" s="196"/>
      <c r="AF175" s="196"/>
      <c r="AG175" s="196"/>
      <c r="AH175" s="196"/>
      <c r="AI175" s="196"/>
      <c r="AJ175" s="196"/>
      <c r="AK175" s="196"/>
      <c r="AL175" s="196"/>
      <c r="AM175" s="196"/>
      <c r="AN175" s="196"/>
      <c r="AO175" s="196"/>
      <c r="AP175" s="196"/>
      <c r="AQ175" s="196"/>
      <c r="AR175" s="196"/>
      <c r="AS175" s="196"/>
    </row>
    <row r="176" spans="1:45" ht="15.75" customHeight="1">
      <c r="A176" s="196"/>
      <c r="B176" s="196"/>
      <c r="C176" s="88"/>
      <c r="D176" s="88"/>
      <c r="E176" s="88"/>
      <c r="F176" s="196"/>
      <c r="G176" s="196"/>
      <c r="H176" s="196"/>
      <c r="I176" s="196"/>
      <c r="J176" s="196"/>
      <c r="K176" s="196"/>
      <c r="L176" s="196"/>
      <c r="M176" s="196"/>
      <c r="N176" s="196"/>
      <c r="O176" s="196"/>
      <c r="P176" s="196"/>
      <c r="Q176" s="196"/>
      <c r="R176" s="196"/>
      <c r="S176" s="196"/>
      <c r="T176" s="196"/>
      <c r="U176" s="196"/>
      <c r="V176" s="196"/>
      <c r="W176" s="196"/>
      <c r="X176" s="196"/>
      <c r="Y176" s="196"/>
      <c r="Z176" s="196"/>
      <c r="AA176" s="196"/>
      <c r="AB176" s="196"/>
      <c r="AC176" s="196"/>
      <c r="AD176" s="196"/>
      <c r="AE176" s="196"/>
      <c r="AF176" s="196"/>
      <c r="AG176" s="196"/>
      <c r="AH176" s="196"/>
      <c r="AI176" s="196"/>
      <c r="AJ176" s="196"/>
      <c r="AK176" s="196"/>
      <c r="AL176" s="196"/>
      <c r="AM176" s="196"/>
      <c r="AN176" s="196"/>
      <c r="AO176" s="196"/>
      <c r="AP176" s="196"/>
      <c r="AQ176" s="196"/>
      <c r="AR176" s="196"/>
      <c r="AS176" s="196"/>
    </row>
    <row r="177" spans="1:45" ht="15.75" customHeight="1">
      <c r="A177" s="196"/>
      <c r="B177" s="196"/>
      <c r="C177" s="88"/>
      <c r="D177" s="88"/>
      <c r="E177" s="88"/>
      <c r="F177" s="196"/>
      <c r="G177" s="196"/>
      <c r="H177" s="196"/>
      <c r="I177" s="196"/>
      <c r="J177" s="196"/>
      <c r="K177" s="196"/>
      <c r="L177" s="196"/>
      <c r="M177" s="196"/>
      <c r="N177" s="196"/>
      <c r="O177" s="196"/>
      <c r="P177" s="196"/>
      <c r="Q177" s="196"/>
      <c r="R177" s="196"/>
      <c r="S177" s="196"/>
      <c r="T177" s="196"/>
      <c r="U177" s="196"/>
      <c r="V177" s="196"/>
      <c r="W177" s="196"/>
      <c r="X177" s="196"/>
      <c r="Y177" s="196"/>
      <c r="Z177" s="196"/>
      <c r="AA177" s="196"/>
      <c r="AB177" s="196"/>
      <c r="AC177" s="196"/>
      <c r="AD177" s="196"/>
      <c r="AE177" s="196"/>
      <c r="AF177" s="196"/>
      <c r="AG177" s="196"/>
      <c r="AH177" s="196"/>
      <c r="AI177" s="196"/>
      <c r="AJ177" s="196"/>
      <c r="AK177" s="196"/>
      <c r="AL177" s="196"/>
      <c r="AM177" s="196"/>
      <c r="AN177" s="196"/>
      <c r="AO177" s="196"/>
      <c r="AP177" s="196"/>
      <c r="AQ177" s="196"/>
      <c r="AR177" s="196"/>
      <c r="AS177" s="196"/>
    </row>
    <row r="178" spans="1:45" ht="15.75" customHeight="1">
      <c r="A178" s="196"/>
      <c r="B178" s="196"/>
      <c r="C178" s="88"/>
      <c r="D178" s="88"/>
      <c r="E178" s="88"/>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196"/>
      <c r="AR178" s="196"/>
      <c r="AS178" s="196"/>
    </row>
    <row r="179" spans="1:45" ht="15.75" customHeight="1">
      <c r="A179" s="196"/>
      <c r="B179" s="196"/>
      <c r="C179" s="88"/>
      <c r="D179" s="88"/>
      <c r="E179" s="88"/>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196"/>
      <c r="AB179" s="196"/>
      <c r="AC179" s="196"/>
      <c r="AD179" s="196"/>
      <c r="AE179" s="196"/>
      <c r="AF179" s="196"/>
      <c r="AG179" s="196"/>
      <c r="AH179" s="196"/>
      <c r="AI179" s="196"/>
      <c r="AJ179" s="196"/>
      <c r="AK179" s="196"/>
      <c r="AL179" s="196"/>
      <c r="AM179" s="196"/>
      <c r="AN179" s="196"/>
      <c r="AO179" s="196"/>
      <c r="AP179" s="196"/>
      <c r="AQ179" s="196"/>
      <c r="AR179" s="196"/>
      <c r="AS179" s="196"/>
    </row>
    <row r="180" spans="1:45" ht="15.75" customHeight="1">
      <c r="A180" s="196"/>
      <c r="B180" s="196"/>
      <c r="C180" s="88"/>
      <c r="D180" s="88"/>
      <c r="E180" s="88"/>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96"/>
      <c r="AM180" s="196"/>
      <c r="AN180" s="196"/>
      <c r="AO180" s="196"/>
      <c r="AP180" s="196"/>
      <c r="AQ180" s="196"/>
      <c r="AR180" s="196"/>
      <c r="AS180" s="196"/>
    </row>
    <row r="181" spans="1:45" ht="15.75" customHeight="1">
      <c r="A181" s="196"/>
      <c r="B181" s="196"/>
      <c r="C181" s="88"/>
      <c r="D181" s="88"/>
      <c r="E181" s="88"/>
      <c r="F181" s="196"/>
      <c r="G181" s="196"/>
      <c r="H181" s="196"/>
      <c r="I181" s="196"/>
      <c r="J181" s="196"/>
      <c r="K181" s="196"/>
      <c r="L181" s="196"/>
      <c r="M181" s="196"/>
      <c r="N181" s="196"/>
      <c r="O181" s="196"/>
      <c r="P181" s="196"/>
      <c r="Q181" s="196"/>
      <c r="R181" s="196"/>
      <c r="S181" s="196"/>
      <c r="T181" s="196"/>
      <c r="U181" s="196"/>
      <c r="V181" s="196"/>
      <c r="W181" s="196"/>
      <c r="X181" s="196"/>
      <c r="Y181" s="196"/>
      <c r="Z181" s="196"/>
      <c r="AA181" s="196"/>
      <c r="AB181" s="196"/>
      <c r="AC181" s="196"/>
      <c r="AD181" s="196"/>
      <c r="AE181" s="196"/>
      <c r="AF181" s="196"/>
      <c r="AG181" s="196"/>
      <c r="AH181" s="196"/>
      <c r="AI181" s="196"/>
      <c r="AJ181" s="196"/>
      <c r="AK181" s="196"/>
      <c r="AL181" s="196"/>
      <c r="AM181" s="196"/>
      <c r="AN181" s="196"/>
      <c r="AO181" s="196"/>
      <c r="AP181" s="196"/>
      <c r="AQ181" s="196"/>
      <c r="AR181" s="196"/>
      <c r="AS181" s="196"/>
    </row>
    <row r="182" spans="1:45" ht="15.75" customHeight="1">
      <c r="A182" s="196"/>
      <c r="B182" s="196"/>
      <c r="C182" s="88"/>
      <c r="D182" s="88"/>
      <c r="E182" s="88"/>
      <c r="F182" s="196"/>
      <c r="G182" s="196"/>
      <c r="H182" s="196"/>
      <c r="I182" s="196"/>
      <c r="J182" s="196"/>
      <c r="K182" s="196"/>
      <c r="L182" s="196"/>
      <c r="M182" s="196"/>
      <c r="N182" s="196"/>
      <c r="O182" s="196"/>
      <c r="P182" s="196"/>
      <c r="Q182" s="196"/>
      <c r="R182" s="196"/>
      <c r="S182" s="196"/>
      <c r="T182" s="196"/>
      <c r="U182" s="196"/>
      <c r="V182" s="196"/>
      <c r="W182" s="196"/>
      <c r="X182" s="196"/>
      <c r="Y182" s="196"/>
      <c r="Z182" s="196"/>
      <c r="AA182" s="196"/>
      <c r="AB182" s="196"/>
      <c r="AC182" s="196"/>
      <c r="AD182" s="196"/>
      <c r="AE182" s="196"/>
      <c r="AF182" s="196"/>
      <c r="AG182" s="196"/>
      <c r="AH182" s="196"/>
      <c r="AI182" s="196"/>
      <c r="AJ182" s="196"/>
      <c r="AK182" s="196"/>
      <c r="AL182" s="196"/>
      <c r="AM182" s="196"/>
      <c r="AN182" s="196"/>
      <c r="AO182" s="196"/>
      <c r="AP182" s="196"/>
      <c r="AQ182" s="196"/>
      <c r="AR182" s="196"/>
      <c r="AS182" s="196"/>
    </row>
    <row r="183" spans="1:45" ht="15.75" customHeight="1">
      <c r="A183" s="196"/>
      <c r="B183" s="196"/>
      <c r="C183" s="88"/>
      <c r="D183" s="88"/>
      <c r="E183" s="88"/>
      <c r="F183" s="196"/>
      <c r="G183" s="196"/>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c r="AE183" s="196"/>
      <c r="AF183" s="196"/>
      <c r="AG183" s="196"/>
      <c r="AH183" s="196"/>
      <c r="AI183" s="196"/>
      <c r="AJ183" s="196"/>
      <c r="AK183" s="196"/>
      <c r="AL183" s="196"/>
      <c r="AM183" s="196"/>
      <c r="AN183" s="196"/>
      <c r="AO183" s="196"/>
      <c r="AP183" s="196"/>
      <c r="AQ183" s="196"/>
      <c r="AR183" s="196"/>
      <c r="AS183" s="196"/>
    </row>
    <row r="184" spans="1:45" ht="15.75" customHeight="1">
      <c r="A184" s="196"/>
      <c r="B184" s="196"/>
      <c r="C184" s="88"/>
      <c r="D184" s="88"/>
      <c r="E184" s="88"/>
      <c r="F184" s="196"/>
      <c r="G184" s="196"/>
      <c r="H184" s="196"/>
      <c r="I184" s="196"/>
      <c r="J184" s="196"/>
      <c r="K184" s="196"/>
      <c r="L184" s="196"/>
      <c r="M184" s="196"/>
      <c r="N184" s="196"/>
      <c r="O184" s="196"/>
      <c r="P184" s="196"/>
      <c r="Q184" s="196"/>
      <c r="R184" s="196"/>
      <c r="S184" s="196"/>
      <c r="T184" s="196"/>
      <c r="U184" s="196"/>
      <c r="V184" s="196"/>
      <c r="W184" s="196"/>
      <c r="X184" s="196"/>
      <c r="Y184" s="196"/>
      <c r="Z184" s="196"/>
      <c r="AA184" s="196"/>
      <c r="AB184" s="196"/>
      <c r="AC184" s="196"/>
      <c r="AD184" s="196"/>
      <c r="AE184" s="196"/>
      <c r="AF184" s="196"/>
      <c r="AG184" s="196"/>
      <c r="AH184" s="196"/>
      <c r="AI184" s="196"/>
      <c r="AJ184" s="196"/>
      <c r="AK184" s="196"/>
      <c r="AL184" s="196"/>
      <c r="AM184" s="196"/>
      <c r="AN184" s="196"/>
      <c r="AO184" s="196"/>
      <c r="AP184" s="196"/>
      <c r="AQ184" s="196"/>
      <c r="AR184" s="196"/>
      <c r="AS184" s="196"/>
    </row>
    <row r="185" spans="1:45" ht="15.75" customHeight="1">
      <c r="A185" s="196"/>
      <c r="B185" s="196"/>
      <c r="C185" s="88"/>
      <c r="D185" s="88"/>
      <c r="E185" s="88"/>
      <c r="F185" s="196"/>
      <c r="G185" s="196"/>
      <c r="H185" s="196"/>
      <c r="I185" s="196"/>
      <c r="J185" s="196"/>
      <c r="K185" s="196"/>
      <c r="L185" s="196"/>
      <c r="M185" s="196"/>
      <c r="N185" s="196"/>
      <c r="O185" s="196"/>
      <c r="P185" s="196"/>
      <c r="Q185" s="196"/>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row>
    <row r="186" spans="1:45" ht="15.75" customHeight="1">
      <c r="A186" s="196"/>
      <c r="B186" s="196"/>
      <c r="C186" s="88"/>
      <c r="D186" s="88"/>
      <c r="E186" s="88"/>
      <c r="F186" s="196"/>
      <c r="G186" s="196"/>
      <c r="H186" s="196"/>
      <c r="I186" s="196"/>
      <c r="J186" s="196"/>
      <c r="K186" s="196"/>
      <c r="L186" s="196"/>
      <c r="M186" s="196"/>
      <c r="N186" s="196"/>
      <c r="O186" s="196"/>
      <c r="P186" s="196"/>
      <c r="Q186" s="196"/>
      <c r="R186" s="196"/>
      <c r="S186" s="196"/>
      <c r="T186" s="196"/>
      <c r="U186" s="196"/>
      <c r="V186" s="196"/>
      <c r="W186" s="196"/>
      <c r="X186" s="196"/>
      <c r="Y186" s="196"/>
      <c r="Z186" s="196"/>
      <c r="AA186" s="196"/>
      <c r="AB186" s="196"/>
      <c r="AC186" s="196"/>
      <c r="AD186" s="196"/>
      <c r="AE186" s="196"/>
      <c r="AF186" s="196"/>
      <c r="AG186" s="196"/>
      <c r="AH186" s="196"/>
      <c r="AI186" s="196"/>
      <c r="AJ186" s="196"/>
      <c r="AK186" s="196"/>
      <c r="AL186" s="196"/>
      <c r="AM186" s="196"/>
      <c r="AN186" s="196"/>
      <c r="AO186" s="196"/>
      <c r="AP186" s="196"/>
      <c r="AQ186" s="196"/>
      <c r="AR186" s="196"/>
      <c r="AS186" s="196"/>
    </row>
    <row r="187" spans="1:45" ht="15.75" customHeight="1">
      <c r="A187" s="196"/>
      <c r="B187" s="196"/>
      <c r="C187" s="88"/>
      <c r="D187" s="88"/>
      <c r="E187" s="88"/>
      <c r="F187" s="196"/>
      <c r="G187" s="196"/>
      <c r="H187" s="196"/>
      <c r="I187" s="196"/>
      <c r="J187" s="196"/>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6"/>
      <c r="AN187" s="196"/>
      <c r="AO187" s="196"/>
      <c r="AP187" s="196"/>
      <c r="AQ187" s="196"/>
      <c r="AR187" s="196"/>
      <c r="AS187" s="196"/>
    </row>
    <row r="188" spans="1:45" ht="15.75" customHeight="1">
      <c r="A188" s="196"/>
      <c r="B188" s="196"/>
      <c r="C188" s="88"/>
      <c r="D188" s="88"/>
      <c r="E188" s="88"/>
      <c r="F188" s="196"/>
      <c r="G188" s="196"/>
      <c r="H188" s="196"/>
      <c r="I188" s="196"/>
      <c r="J188" s="196"/>
      <c r="K188" s="196"/>
      <c r="L188" s="196"/>
      <c r="M188" s="196"/>
      <c r="N188" s="196"/>
      <c r="O188" s="196"/>
      <c r="P188" s="196"/>
      <c r="Q188" s="196"/>
      <c r="R188" s="196"/>
      <c r="S188" s="196"/>
      <c r="T188" s="196"/>
      <c r="U188" s="196"/>
      <c r="V188" s="196"/>
      <c r="W188" s="196"/>
      <c r="X188" s="196"/>
      <c r="Y188" s="196"/>
      <c r="Z188" s="196"/>
      <c r="AA188" s="196"/>
      <c r="AB188" s="196"/>
      <c r="AC188" s="196"/>
      <c r="AD188" s="196"/>
      <c r="AE188" s="196"/>
      <c r="AF188" s="196"/>
      <c r="AG188" s="196"/>
      <c r="AH188" s="196"/>
      <c r="AI188" s="196"/>
      <c r="AJ188" s="196"/>
      <c r="AK188" s="196"/>
      <c r="AL188" s="196"/>
      <c r="AM188" s="196"/>
      <c r="AN188" s="196"/>
      <c r="AO188" s="196"/>
      <c r="AP188" s="196"/>
      <c r="AQ188" s="196"/>
      <c r="AR188" s="196"/>
      <c r="AS188" s="196"/>
    </row>
    <row r="189" spans="1:45" ht="15.75" customHeight="1">
      <c r="A189" s="196"/>
      <c r="B189" s="196"/>
      <c r="C189" s="88"/>
      <c r="D189" s="88"/>
      <c r="E189" s="88"/>
      <c r="F189" s="196"/>
      <c r="G189" s="196"/>
      <c r="H189" s="196"/>
      <c r="I189" s="196"/>
      <c r="J189" s="196"/>
      <c r="K189" s="196"/>
      <c r="L189" s="196"/>
      <c r="M189" s="196"/>
      <c r="N189" s="196"/>
      <c r="O189" s="196"/>
      <c r="P189" s="196"/>
      <c r="Q189" s="196"/>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AN189" s="196"/>
      <c r="AO189" s="196"/>
      <c r="AP189" s="196"/>
      <c r="AQ189" s="196"/>
      <c r="AR189" s="196"/>
      <c r="AS189" s="196"/>
    </row>
    <row r="190" spans="1:45" ht="15.75" customHeight="1">
      <c r="A190" s="196"/>
      <c r="B190" s="196"/>
      <c r="C190" s="88"/>
      <c r="D190" s="88"/>
      <c r="E190" s="88"/>
      <c r="F190" s="196"/>
      <c r="G190" s="196"/>
      <c r="H190" s="196"/>
      <c r="I190" s="196"/>
      <c r="J190" s="196"/>
      <c r="K190" s="196"/>
      <c r="L190" s="196"/>
      <c r="M190" s="196"/>
      <c r="N190" s="196"/>
      <c r="O190" s="196"/>
      <c r="P190" s="196"/>
      <c r="Q190" s="196"/>
      <c r="R190" s="196"/>
      <c r="S190" s="196"/>
      <c r="T190" s="196"/>
      <c r="U190" s="196"/>
      <c r="V190" s="196"/>
      <c r="W190" s="196"/>
      <c r="X190" s="196"/>
      <c r="Y190" s="196"/>
      <c r="Z190" s="196"/>
      <c r="AA190" s="196"/>
      <c r="AB190" s="196"/>
      <c r="AC190" s="196"/>
      <c r="AD190" s="196"/>
      <c r="AE190" s="196"/>
      <c r="AF190" s="196"/>
      <c r="AG190" s="196"/>
      <c r="AH190" s="196"/>
      <c r="AI190" s="196"/>
      <c r="AJ190" s="196"/>
      <c r="AK190" s="196"/>
      <c r="AL190" s="196"/>
      <c r="AM190" s="196"/>
      <c r="AN190" s="196"/>
      <c r="AO190" s="196"/>
      <c r="AP190" s="196"/>
      <c r="AQ190" s="196"/>
      <c r="AR190" s="196"/>
      <c r="AS190" s="196"/>
    </row>
    <row r="191" spans="1:45" ht="15.75" customHeight="1">
      <c r="A191" s="196"/>
      <c r="B191" s="196"/>
      <c r="C191" s="88"/>
      <c r="D191" s="88"/>
      <c r="E191" s="88"/>
      <c r="F191" s="196"/>
      <c r="G191" s="196"/>
      <c r="H191" s="196"/>
      <c r="I191" s="196"/>
      <c r="J191" s="196"/>
      <c r="K191" s="196"/>
      <c r="L191" s="196"/>
      <c r="M191" s="196"/>
      <c r="N191" s="196"/>
      <c r="O191" s="196"/>
      <c r="P191" s="196"/>
      <c r="Q191" s="196"/>
      <c r="R191" s="196"/>
      <c r="S191" s="196"/>
      <c r="T191" s="196"/>
      <c r="U191" s="196"/>
      <c r="V191" s="196"/>
      <c r="W191" s="196"/>
      <c r="X191" s="196"/>
      <c r="Y191" s="196"/>
      <c r="Z191" s="196"/>
      <c r="AA191" s="196"/>
      <c r="AB191" s="196"/>
      <c r="AC191" s="196"/>
      <c r="AD191" s="196"/>
      <c r="AE191" s="196"/>
      <c r="AF191" s="196"/>
      <c r="AG191" s="196"/>
      <c r="AH191" s="196"/>
      <c r="AI191" s="196"/>
      <c r="AJ191" s="196"/>
      <c r="AK191" s="196"/>
      <c r="AL191" s="196"/>
      <c r="AM191" s="196"/>
      <c r="AN191" s="196"/>
      <c r="AO191" s="196"/>
      <c r="AP191" s="196"/>
      <c r="AQ191" s="196"/>
      <c r="AR191" s="196"/>
      <c r="AS191" s="196"/>
    </row>
    <row r="192" spans="1:45" ht="15.75" customHeight="1">
      <c r="A192" s="196"/>
      <c r="B192" s="196"/>
      <c r="C192" s="88"/>
      <c r="D192" s="88"/>
      <c r="E192" s="88"/>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c r="AE192" s="196"/>
      <c r="AF192" s="196"/>
      <c r="AG192" s="196"/>
      <c r="AH192" s="196"/>
      <c r="AI192" s="196"/>
      <c r="AJ192" s="196"/>
      <c r="AK192" s="196"/>
      <c r="AL192" s="196"/>
      <c r="AM192" s="196"/>
      <c r="AN192" s="196"/>
      <c r="AO192" s="196"/>
      <c r="AP192" s="196"/>
      <c r="AQ192" s="196"/>
      <c r="AR192" s="196"/>
      <c r="AS192" s="196"/>
    </row>
    <row r="193" spans="1:45" ht="15.75" customHeight="1">
      <c r="A193" s="196"/>
      <c r="B193" s="196"/>
      <c r="C193" s="88"/>
      <c r="D193" s="88"/>
      <c r="E193" s="88"/>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c r="AK193" s="196"/>
      <c r="AL193" s="196"/>
      <c r="AM193" s="196"/>
      <c r="AN193" s="196"/>
      <c r="AO193" s="196"/>
      <c r="AP193" s="196"/>
      <c r="AQ193" s="196"/>
      <c r="AR193" s="196"/>
      <c r="AS193" s="196"/>
    </row>
    <row r="194" spans="1:45" ht="15.75" customHeight="1">
      <c r="A194" s="196"/>
      <c r="B194" s="196"/>
      <c r="C194" s="88"/>
      <c r="D194" s="88"/>
      <c r="E194" s="88"/>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c r="AR194" s="196"/>
      <c r="AS194" s="196"/>
    </row>
    <row r="195" spans="1:45" ht="15.75" customHeight="1">
      <c r="A195" s="196"/>
      <c r="B195" s="196"/>
      <c r="C195" s="88"/>
      <c r="D195" s="88"/>
      <c r="E195" s="88"/>
      <c r="F195" s="196"/>
      <c r="G195" s="196"/>
      <c r="H195" s="196"/>
      <c r="I195" s="196"/>
      <c r="J195" s="196"/>
      <c r="K195" s="196"/>
      <c r="L195" s="196"/>
      <c r="M195" s="196"/>
      <c r="N195" s="196"/>
      <c r="O195" s="196"/>
      <c r="P195" s="196"/>
      <c r="Q195" s="196"/>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c r="AR195" s="196"/>
      <c r="AS195" s="196"/>
    </row>
    <row r="196" spans="1:45" ht="15.75" customHeight="1">
      <c r="A196" s="196"/>
      <c r="B196" s="196"/>
      <c r="C196" s="88"/>
      <c r="D196" s="88"/>
      <c r="E196" s="88"/>
      <c r="F196" s="196"/>
      <c r="G196" s="196"/>
      <c r="H196" s="196"/>
      <c r="I196" s="196"/>
      <c r="J196" s="196"/>
      <c r="K196" s="196"/>
      <c r="L196" s="196"/>
      <c r="M196" s="196"/>
      <c r="N196" s="196"/>
      <c r="O196" s="196"/>
      <c r="P196" s="196"/>
      <c r="Q196" s="196"/>
      <c r="R196" s="196"/>
      <c r="S196" s="196"/>
      <c r="T196" s="196"/>
      <c r="U196" s="196"/>
      <c r="V196" s="196"/>
      <c r="W196" s="196"/>
      <c r="X196" s="196"/>
      <c r="Y196" s="196"/>
      <c r="Z196" s="196"/>
      <c r="AA196" s="196"/>
      <c r="AB196" s="196"/>
      <c r="AC196" s="196"/>
      <c r="AD196" s="196"/>
      <c r="AE196" s="196"/>
      <c r="AF196" s="196"/>
      <c r="AG196" s="196"/>
      <c r="AH196" s="196"/>
      <c r="AI196" s="196"/>
      <c r="AJ196" s="196"/>
      <c r="AK196" s="196"/>
      <c r="AL196" s="196"/>
      <c r="AM196" s="196"/>
      <c r="AN196" s="196"/>
      <c r="AO196" s="196"/>
      <c r="AP196" s="196"/>
      <c r="AQ196" s="196"/>
      <c r="AR196" s="196"/>
      <c r="AS196" s="196"/>
    </row>
    <row r="197" spans="1:45" ht="15.75" customHeight="1">
      <c r="A197" s="196"/>
      <c r="B197" s="196"/>
      <c r="C197" s="88"/>
      <c r="D197" s="88"/>
      <c r="E197" s="88"/>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196"/>
      <c r="AL197" s="196"/>
      <c r="AM197" s="196"/>
      <c r="AN197" s="196"/>
      <c r="AO197" s="196"/>
      <c r="AP197" s="196"/>
      <c r="AQ197" s="196"/>
      <c r="AR197" s="196"/>
      <c r="AS197" s="196"/>
    </row>
    <row r="198" spans="1:45" ht="15.75" customHeight="1">
      <c r="A198" s="196"/>
      <c r="B198" s="196"/>
      <c r="C198" s="88"/>
      <c r="D198" s="88"/>
      <c r="E198" s="88"/>
      <c r="F198" s="196"/>
      <c r="G198" s="196"/>
      <c r="H198" s="196"/>
      <c r="I198" s="196"/>
      <c r="J198" s="196"/>
      <c r="K198" s="196"/>
      <c r="L198" s="196"/>
      <c r="M198" s="196"/>
      <c r="N198" s="196"/>
      <c r="O198" s="196"/>
      <c r="P198" s="196"/>
      <c r="Q198" s="196"/>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c r="AR198" s="196"/>
      <c r="AS198" s="196"/>
    </row>
    <row r="199" spans="1:45" ht="15.75" customHeight="1">
      <c r="A199" s="196"/>
      <c r="B199" s="196"/>
      <c r="C199" s="88"/>
      <c r="D199" s="88"/>
      <c r="E199" s="88"/>
      <c r="F199" s="196"/>
      <c r="G199" s="196"/>
      <c r="H199" s="196"/>
      <c r="I199" s="196"/>
      <c r="J199" s="196"/>
      <c r="K199" s="196"/>
      <c r="L199" s="196"/>
      <c r="M199" s="196"/>
      <c r="N199" s="196"/>
      <c r="O199" s="196"/>
      <c r="P199" s="196"/>
      <c r="Q199" s="196"/>
      <c r="R199" s="196"/>
      <c r="S199" s="196"/>
      <c r="T199" s="196"/>
      <c r="U199" s="196"/>
      <c r="V199" s="196"/>
      <c r="W199" s="196"/>
      <c r="X199" s="196"/>
      <c r="Y199" s="196"/>
      <c r="Z199" s="196"/>
      <c r="AA199" s="196"/>
      <c r="AB199" s="196"/>
      <c r="AC199" s="196"/>
      <c r="AD199" s="196"/>
      <c r="AE199" s="196"/>
      <c r="AF199" s="196"/>
      <c r="AG199" s="196"/>
      <c r="AH199" s="196"/>
      <c r="AI199" s="196"/>
      <c r="AJ199" s="196"/>
      <c r="AK199" s="196"/>
      <c r="AL199" s="196"/>
      <c r="AM199" s="196"/>
      <c r="AN199" s="196"/>
      <c r="AO199" s="196"/>
      <c r="AP199" s="196"/>
      <c r="AQ199" s="196"/>
      <c r="AR199" s="196"/>
      <c r="AS199" s="196"/>
    </row>
    <row r="200" spans="1:45" ht="15.75" customHeight="1">
      <c r="A200" s="196"/>
      <c r="B200" s="196"/>
      <c r="C200" s="88"/>
      <c r="D200" s="88"/>
      <c r="E200" s="88"/>
      <c r="F200" s="196"/>
      <c r="G200" s="196"/>
      <c r="H200" s="196"/>
      <c r="I200" s="196"/>
      <c r="J200" s="196"/>
      <c r="K200" s="196"/>
      <c r="L200" s="196"/>
      <c r="M200" s="196"/>
      <c r="N200" s="196"/>
      <c r="O200" s="196"/>
      <c r="P200" s="196"/>
      <c r="Q200" s="196"/>
      <c r="R200" s="196"/>
      <c r="S200" s="196"/>
      <c r="T200" s="196"/>
      <c r="U200" s="196"/>
      <c r="V200" s="196"/>
      <c r="W200" s="196"/>
      <c r="X200" s="196"/>
      <c r="Y200" s="196"/>
      <c r="Z200" s="196"/>
      <c r="AA200" s="196"/>
      <c r="AB200" s="196"/>
      <c r="AC200" s="196"/>
      <c r="AD200" s="196"/>
      <c r="AE200" s="196"/>
      <c r="AF200" s="196"/>
      <c r="AG200" s="196"/>
      <c r="AH200" s="196"/>
      <c r="AI200" s="196"/>
      <c r="AJ200" s="196"/>
      <c r="AK200" s="196"/>
      <c r="AL200" s="196"/>
      <c r="AM200" s="196"/>
      <c r="AN200" s="196"/>
      <c r="AO200" s="196"/>
      <c r="AP200" s="196"/>
      <c r="AQ200" s="196"/>
      <c r="AR200" s="196"/>
      <c r="AS200" s="196"/>
    </row>
    <row r="201" spans="1:45" ht="15.75" customHeight="1">
      <c r="A201" s="196"/>
      <c r="B201" s="196"/>
      <c r="C201" s="88"/>
      <c r="D201" s="88"/>
      <c r="E201" s="88"/>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row>
    <row r="202" spans="1:45" ht="15.75" customHeight="1">
      <c r="A202" s="196"/>
      <c r="B202" s="196"/>
      <c r="C202" s="88"/>
      <c r="D202" s="88"/>
      <c r="E202" s="88"/>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row>
    <row r="203" spans="1:45" ht="15.75" customHeight="1">
      <c r="A203" s="196"/>
      <c r="B203" s="196"/>
      <c r="C203" s="88"/>
      <c r="D203" s="88"/>
      <c r="E203" s="88"/>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row>
    <row r="204" spans="1:45" ht="15.75" customHeight="1">
      <c r="A204" s="196"/>
      <c r="B204" s="196"/>
      <c r="C204" s="88"/>
      <c r="D204" s="88"/>
      <c r="E204" s="88"/>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row>
    <row r="205" spans="1:45" ht="15.75" customHeight="1">
      <c r="A205" s="196"/>
      <c r="B205" s="196"/>
      <c r="C205" s="88"/>
      <c r="D205" s="88"/>
      <c r="E205" s="88"/>
      <c r="F205" s="196"/>
      <c r="G205" s="196"/>
      <c r="H205" s="196"/>
      <c r="I205" s="196"/>
      <c r="J205" s="196"/>
      <c r="K205" s="196"/>
      <c r="L205" s="196"/>
      <c r="M205" s="196"/>
      <c r="N205" s="196"/>
      <c r="O205" s="196"/>
      <c r="P205" s="196"/>
      <c r="Q205" s="196"/>
      <c r="R205" s="196"/>
      <c r="S205" s="196"/>
      <c r="T205" s="196"/>
      <c r="U205" s="196"/>
      <c r="V205" s="196"/>
      <c r="W205" s="196"/>
      <c r="X205" s="196"/>
      <c r="Y205" s="196"/>
      <c r="Z205" s="196"/>
      <c r="AA205" s="196"/>
      <c r="AB205" s="196"/>
      <c r="AC205" s="196"/>
      <c r="AD205" s="196"/>
      <c r="AE205" s="196"/>
      <c r="AF205" s="196"/>
      <c r="AG205" s="196"/>
      <c r="AH205" s="196"/>
      <c r="AI205" s="196"/>
      <c r="AJ205" s="196"/>
      <c r="AK205" s="196"/>
      <c r="AL205" s="196"/>
      <c r="AM205" s="196"/>
      <c r="AN205" s="196"/>
      <c r="AO205" s="196"/>
      <c r="AP205" s="196"/>
      <c r="AQ205" s="196"/>
      <c r="AR205" s="196"/>
      <c r="AS205" s="196"/>
    </row>
    <row r="206" spans="1:45" ht="15.75" customHeight="1">
      <c r="A206" s="196"/>
      <c r="B206" s="196"/>
      <c r="C206" s="88"/>
      <c r="D206" s="88"/>
      <c r="E206" s="88"/>
      <c r="F206" s="196"/>
      <c r="G206" s="196"/>
      <c r="H206" s="196"/>
      <c r="I206" s="196"/>
      <c r="J206" s="196"/>
      <c r="K206" s="196"/>
      <c r="L206" s="196"/>
      <c r="M206" s="196"/>
      <c r="N206" s="196"/>
      <c r="O206" s="196"/>
      <c r="P206" s="196"/>
      <c r="Q206" s="196"/>
      <c r="R206" s="196"/>
      <c r="S206" s="196"/>
      <c r="T206" s="196"/>
      <c r="U206" s="196"/>
      <c r="V206" s="196"/>
      <c r="W206" s="196"/>
      <c r="X206" s="196"/>
      <c r="Y206" s="196"/>
      <c r="Z206" s="196"/>
      <c r="AA206" s="196"/>
      <c r="AB206" s="196"/>
      <c r="AC206" s="196"/>
      <c r="AD206" s="196"/>
      <c r="AE206" s="196"/>
      <c r="AF206" s="196"/>
      <c r="AG206" s="196"/>
      <c r="AH206" s="196"/>
      <c r="AI206" s="196"/>
      <c r="AJ206" s="196"/>
      <c r="AK206" s="196"/>
      <c r="AL206" s="196"/>
      <c r="AM206" s="196"/>
      <c r="AN206" s="196"/>
      <c r="AO206" s="196"/>
      <c r="AP206" s="196"/>
      <c r="AQ206" s="196"/>
      <c r="AR206" s="196"/>
      <c r="AS206" s="196"/>
    </row>
    <row r="207" spans="1:45" ht="15.75" customHeight="1">
      <c r="A207" s="196"/>
      <c r="B207" s="196"/>
      <c r="C207" s="88"/>
      <c r="D207" s="88"/>
      <c r="E207" s="88"/>
      <c r="F207" s="196"/>
      <c r="G207" s="196"/>
      <c r="H207" s="196"/>
      <c r="I207" s="196"/>
      <c r="J207" s="196"/>
      <c r="K207" s="196"/>
      <c r="L207" s="196"/>
      <c r="M207" s="196"/>
      <c r="N207" s="196"/>
      <c r="O207" s="196"/>
      <c r="P207" s="196"/>
      <c r="Q207" s="196"/>
      <c r="R207" s="196"/>
      <c r="S207" s="196"/>
      <c r="T207" s="196"/>
      <c r="U207" s="196"/>
      <c r="V207" s="196"/>
      <c r="W207" s="196"/>
      <c r="X207" s="196"/>
      <c r="Y207" s="196"/>
      <c r="Z207" s="196"/>
      <c r="AA207" s="196"/>
      <c r="AB207" s="196"/>
      <c r="AC207" s="196"/>
      <c r="AD207" s="196"/>
      <c r="AE207" s="196"/>
      <c r="AF207" s="196"/>
      <c r="AG207" s="196"/>
      <c r="AH207" s="196"/>
      <c r="AI207" s="196"/>
      <c r="AJ207" s="196"/>
      <c r="AK207" s="196"/>
      <c r="AL207" s="196"/>
      <c r="AM207" s="196"/>
      <c r="AN207" s="196"/>
      <c r="AO207" s="196"/>
      <c r="AP207" s="196"/>
      <c r="AQ207" s="196"/>
      <c r="AR207" s="196"/>
      <c r="AS207" s="196"/>
    </row>
    <row r="208" spans="1:45" ht="15.75" customHeight="1">
      <c r="A208" s="196"/>
      <c r="B208" s="196"/>
      <c r="C208" s="88"/>
      <c r="D208" s="88"/>
      <c r="E208" s="88"/>
      <c r="F208" s="196"/>
      <c r="G208" s="196"/>
      <c r="H208" s="196"/>
      <c r="I208" s="196"/>
      <c r="J208" s="196"/>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6"/>
      <c r="AN208" s="196"/>
      <c r="AO208" s="196"/>
      <c r="AP208" s="196"/>
      <c r="AQ208" s="196"/>
      <c r="AR208" s="196"/>
      <c r="AS208" s="196"/>
    </row>
    <row r="209" spans="1:45" ht="15.75" customHeight="1">
      <c r="A209" s="196"/>
      <c r="B209" s="196"/>
      <c r="C209" s="88"/>
      <c r="D209" s="88"/>
      <c r="E209" s="88"/>
      <c r="F209" s="196"/>
      <c r="G209" s="196"/>
      <c r="H209" s="196"/>
      <c r="I209" s="196"/>
      <c r="J209" s="196"/>
      <c r="K209" s="196"/>
      <c r="L209" s="196"/>
      <c r="M209" s="196"/>
      <c r="N209" s="196"/>
      <c r="O209" s="196"/>
      <c r="P209" s="196"/>
      <c r="Q209" s="196"/>
      <c r="R209" s="196"/>
      <c r="S209" s="196"/>
      <c r="T209" s="196"/>
      <c r="U209" s="196"/>
      <c r="V209" s="196"/>
      <c r="W209" s="196"/>
      <c r="X209" s="196"/>
      <c r="Y209" s="196"/>
      <c r="Z209" s="196"/>
      <c r="AA209" s="196"/>
      <c r="AB209" s="196"/>
      <c r="AC209" s="196"/>
      <c r="AD209" s="196"/>
      <c r="AE209" s="196"/>
      <c r="AF209" s="196"/>
      <c r="AG209" s="196"/>
      <c r="AH209" s="196"/>
      <c r="AI209" s="196"/>
      <c r="AJ209" s="196"/>
      <c r="AK209" s="196"/>
      <c r="AL209" s="196"/>
      <c r="AM209" s="196"/>
      <c r="AN209" s="196"/>
      <c r="AO209" s="196"/>
      <c r="AP209" s="196"/>
      <c r="AQ209" s="196"/>
      <c r="AR209" s="196"/>
      <c r="AS209" s="196"/>
    </row>
    <row r="210" spans="1:45" ht="15.75" customHeight="1">
      <c r="A210" s="196"/>
      <c r="B210" s="196"/>
      <c r="C210" s="88"/>
      <c r="D210" s="88"/>
      <c r="E210" s="88"/>
      <c r="F210" s="196"/>
      <c r="G210" s="196"/>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row>
    <row r="211" spans="1:45" ht="15.75" customHeight="1">
      <c r="A211" s="196"/>
      <c r="B211" s="196"/>
      <c r="C211" s="88"/>
      <c r="D211" s="88"/>
      <c r="E211" s="88"/>
      <c r="F211" s="196"/>
      <c r="G211" s="196"/>
      <c r="H211" s="196"/>
      <c r="I211" s="196"/>
      <c r="J211" s="196"/>
      <c r="K211" s="196"/>
      <c r="L211" s="196"/>
      <c r="M211" s="196"/>
      <c r="N211" s="196"/>
      <c r="O211" s="196"/>
      <c r="P211" s="196"/>
      <c r="Q211" s="196"/>
      <c r="R211" s="196"/>
      <c r="S211" s="196"/>
      <c r="T211" s="196"/>
      <c r="U211" s="196"/>
      <c r="V211" s="196"/>
      <c r="W211" s="196"/>
      <c r="X211" s="196"/>
      <c r="Y211" s="196"/>
      <c r="Z211" s="196"/>
      <c r="AA211" s="196"/>
      <c r="AB211" s="196"/>
      <c r="AC211" s="196"/>
      <c r="AD211" s="196"/>
      <c r="AE211" s="196"/>
      <c r="AF211" s="196"/>
      <c r="AG211" s="196"/>
      <c r="AH211" s="196"/>
      <c r="AI211" s="196"/>
      <c r="AJ211" s="196"/>
      <c r="AK211" s="196"/>
      <c r="AL211" s="196"/>
      <c r="AM211" s="196"/>
      <c r="AN211" s="196"/>
      <c r="AO211" s="196"/>
      <c r="AP211" s="196"/>
      <c r="AQ211" s="196"/>
      <c r="AR211" s="196"/>
      <c r="AS211" s="196"/>
    </row>
    <row r="212" spans="1:45" ht="15.75" customHeight="1">
      <c r="A212" s="196"/>
      <c r="B212" s="196"/>
      <c r="C212" s="88"/>
      <c r="D212" s="88"/>
      <c r="E212" s="88"/>
      <c r="F212" s="196"/>
      <c r="G212" s="196"/>
      <c r="H212" s="196"/>
      <c r="I212" s="196"/>
      <c r="J212" s="196"/>
      <c r="K212" s="196"/>
      <c r="L212" s="196"/>
      <c r="M212" s="196"/>
      <c r="N212" s="196"/>
      <c r="O212" s="196"/>
      <c r="P212" s="196"/>
      <c r="Q212" s="196"/>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6"/>
      <c r="AR212" s="196"/>
      <c r="AS212" s="196"/>
    </row>
    <row r="213" spans="1:45" ht="15.75" customHeight="1">
      <c r="A213" s="196"/>
      <c r="B213" s="196"/>
      <c r="C213" s="88"/>
      <c r="D213" s="88"/>
      <c r="E213" s="88"/>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c r="AR213" s="196"/>
      <c r="AS213" s="196"/>
    </row>
    <row r="214" spans="1:45" ht="15.75" customHeight="1">
      <c r="A214" s="196"/>
      <c r="B214" s="196"/>
      <c r="C214" s="88"/>
      <c r="D214" s="88"/>
      <c r="E214" s="88"/>
      <c r="F214" s="196"/>
      <c r="G214" s="196"/>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6"/>
      <c r="AR214" s="196"/>
      <c r="AS214" s="196"/>
    </row>
    <row r="215" spans="1:45" ht="15.75" customHeight="1">
      <c r="A215" s="196"/>
      <c r="B215" s="196"/>
      <c r="C215" s="88"/>
      <c r="D215" s="88"/>
      <c r="E215" s="88"/>
      <c r="F215" s="196"/>
      <c r="G215" s="196"/>
      <c r="H215" s="196"/>
      <c r="I215" s="196"/>
      <c r="J215" s="196"/>
      <c r="K215" s="196"/>
      <c r="L215" s="196"/>
      <c r="M215" s="196"/>
      <c r="N215" s="196"/>
      <c r="O215" s="196"/>
      <c r="P215" s="196"/>
      <c r="Q215" s="196"/>
      <c r="R215" s="196"/>
      <c r="S215" s="196"/>
      <c r="T215" s="196"/>
      <c r="U215" s="196"/>
      <c r="V215" s="196"/>
      <c r="W215" s="196"/>
      <c r="X215" s="196"/>
      <c r="Y215" s="196"/>
      <c r="Z215" s="196"/>
      <c r="AA215" s="196"/>
      <c r="AB215" s="196"/>
      <c r="AC215" s="196"/>
      <c r="AD215" s="196"/>
      <c r="AE215" s="196"/>
      <c r="AF215" s="196"/>
      <c r="AG215" s="196"/>
      <c r="AH215" s="196"/>
      <c r="AI215" s="196"/>
      <c r="AJ215" s="196"/>
      <c r="AK215" s="196"/>
      <c r="AL215" s="196"/>
      <c r="AM215" s="196"/>
      <c r="AN215" s="196"/>
      <c r="AO215" s="196"/>
      <c r="AP215" s="196"/>
      <c r="AQ215" s="196"/>
      <c r="AR215" s="196"/>
      <c r="AS215" s="196"/>
    </row>
    <row r="216" spans="1:45" ht="15.75" customHeight="1">
      <c r="A216" s="196"/>
      <c r="B216" s="196"/>
      <c r="C216" s="88"/>
      <c r="D216" s="88"/>
      <c r="E216" s="88"/>
      <c r="F216" s="196"/>
      <c r="G216" s="196"/>
      <c r="H216" s="196"/>
      <c r="I216" s="196"/>
      <c r="J216" s="196"/>
      <c r="K216" s="196"/>
      <c r="L216" s="196"/>
      <c r="M216" s="196"/>
      <c r="N216" s="196"/>
      <c r="O216" s="196"/>
      <c r="P216" s="196"/>
      <c r="Q216" s="196"/>
      <c r="R216" s="196"/>
      <c r="S216" s="196"/>
      <c r="T216" s="196"/>
      <c r="U216" s="196"/>
      <c r="V216" s="196"/>
      <c r="W216" s="196"/>
      <c r="X216" s="196"/>
      <c r="Y216" s="196"/>
      <c r="Z216" s="196"/>
      <c r="AA216" s="196"/>
      <c r="AB216" s="196"/>
      <c r="AC216" s="196"/>
      <c r="AD216" s="196"/>
      <c r="AE216" s="196"/>
      <c r="AF216" s="196"/>
      <c r="AG216" s="196"/>
      <c r="AH216" s="196"/>
      <c r="AI216" s="196"/>
      <c r="AJ216" s="196"/>
      <c r="AK216" s="196"/>
      <c r="AL216" s="196"/>
      <c r="AM216" s="196"/>
      <c r="AN216" s="196"/>
      <c r="AO216" s="196"/>
      <c r="AP216" s="196"/>
      <c r="AQ216" s="196"/>
      <c r="AR216" s="196"/>
      <c r="AS216" s="196"/>
    </row>
    <row r="217" spans="1:45" ht="15.75" customHeight="1">
      <c r="A217" s="196"/>
      <c r="B217" s="196"/>
      <c r="C217" s="88"/>
      <c r="D217" s="88"/>
      <c r="E217" s="88"/>
      <c r="F217" s="196"/>
      <c r="G217" s="196"/>
      <c r="H217" s="196"/>
      <c r="I217" s="196"/>
      <c r="J217" s="196"/>
      <c r="K217" s="196"/>
      <c r="L217" s="196"/>
      <c r="M217" s="196"/>
      <c r="N217" s="196"/>
      <c r="O217" s="196"/>
      <c r="P217" s="196"/>
      <c r="Q217" s="196"/>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row>
    <row r="218" spans="1:45" ht="15.75" customHeight="1">
      <c r="A218" s="196"/>
      <c r="B218" s="196"/>
      <c r="C218" s="88"/>
      <c r="D218" s="88"/>
      <c r="E218" s="88"/>
      <c r="F218" s="196"/>
      <c r="G218" s="196"/>
      <c r="H218" s="196"/>
      <c r="I218" s="196"/>
      <c r="J218" s="196"/>
      <c r="K218" s="196"/>
      <c r="L218" s="196"/>
      <c r="M218" s="196"/>
      <c r="N218" s="196"/>
      <c r="O218" s="196"/>
      <c r="P218" s="196"/>
      <c r="Q218" s="196"/>
      <c r="R218" s="196"/>
      <c r="S218" s="196"/>
      <c r="T218" s="196"/>
      <c r="U218" s="196"/>
      <c r="V218" s="196"/>
      <c r="W218" s="196"/>
      <c r="X218" s="196"/>
      <c r="Y218" s="196"/>
      <c r="Z218" s="196"/>
      <c r="AA218" s="196"/>
      <c r="AB218" s="196"/>
      <c r="AC218" s="196"/>
      <c r="AD218" s="196"/>
      <c r="AE218" s="196"/>
      <c r="AF218" s="196"/>
      <c r="AG218" s="196"/>
      <c r="AH218" s="196"/>
      <c r="AI218" s="196"/>
      <c r="AJ218" s="196"/>
      <c r="AK218" s="196"/>
      <c r="AL218" s="196"/>
      <c r="AM218" s="196"/>
      <c r="AN218" s="196"/>
      <c r="AO218" s="196"/>
      <c r="AP218" s="196"/>
      <c r="AQ218" s="196"/>
      <c r="AR218" s="196"/>
      <c r="AS218" s="196"/>
    </row>
    <row r="219" spans="1:45" ht="15.75" customHeight="1">
      <c r="A219" s="196"/>
      <c r="B219" s="196"/>
      <c r="C219" s="88"/>
      <c r="D219" s="88"/>
      <c r="E219" s="88"/>
      <c r="F219" s="196"/>
      <c r="G219" s="196"/>
      <c r="H219" s="196"/>
      <c r="I219" s="196"/>
      <c r="J219" s="196"/>
      <c r="K219" s="196"/>
      <c r="L219" s="196"/>
      <c r="M219" s="196"/>
      <c r="N219" s="196"/>
      <c r="O219" s="196"/>
      <c r="P219" s="196"/>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c r="AR219" s="196"/>
      <c r="AS219" s="196"/>
    </row>
    <row r="220" spans="1:45" ht="15.75" customHeight="1">
      <c r="A220" s="196"/>
      <c r="B220" s="196"/>
      <c r="C220" s="88"/>
      <c r="D220" s="88"/>
      <c r="E220" s="88"/>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c r="AR220" s="196"/>
      <c r="AS220" s="196"/>
    </row>
    <row r="221" spans="1:45" ht="15.75" customHeight="1">
      <c r="A221" s="196"/>
      <c r="B221" s="196"/>
      <c r="C221" s="88"/>
      <c r="D221" s="88"/>
      <c r="E221" s="88"/>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6"/>
      <c r="AR221" s="196"/>
      <c r="AS221" s="196"/>
    </row>
    <row r="222" spans="1:45" ht="15.75" customHeight="1">
      <c r="A222" s="196"/>
      <c r="B222" s="196"/>
      <c r="C222" s="88"/>
      <c r="D222" s="88"/>
      <c r="E222" s="88"/>
      <c r="F222" s="196"/>
      <c r="G222" s="196"/>
      <c r="H222" s="196"/>
      <c r="I222" s="196"/>
      <c r="J222" s="196"/>
      <c r="K222" s="196"/>
      <c r="L222" s="196"/>
      <c r="M222" s="196"/>
      <c r="N222" s="196"/>
      <c r="O222" s="196"/>
      <c r="P222" s="196"/>
      <c r="Q222" s="196"/>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6"/>
      <c r="AR222" s="196"/>
      <c r="AS222" s="196"/>
    </row>
    <row r="223" spans="1:45" ht="15.75" customHeight="1">
      <c r="A223" s="196"/>
      <c r="B223" s="196"/>
      <c r="C223" s="88"/>
      <c r="D223" s="88"/>
      <c r="E223" s="88"/>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6"/>
      <c r="AR223" s="196"/>
      <c r="AS223" s="196"/>
    </row>
    <row r="224" spans="1:45" ht="15.75" customHeight="1">
      <c r="A224" s="196"/>
      <c r="B224" s="196"/>
      <c r="C224" s="88"/>
      <c r="D224" s="88"/>
      <c r="E224" s="88"/>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row>
    <row r="225" spans="1:45" ht="15.75" customHeight="1">
      <c r="A225" s="196"/>
      <c r="B225" s="196"/>
      <c r="C225" s="88"/>
      <c r="D225" s="88"/>
      <c r="E225" s="88"/>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row>
    <row r="226" spans="1:45" ht="15.75" customHeight="1">
      <c r="A226" s="196"/>
      <c r="B226" s="196"/>
      <c r="C226" s="88"/>
      <c r="D226" s="88"/>
      <c r="E226" s="88"/>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196"/>
      <c r="AQ226" s="196"/>
      <c r="AR226" s="196"/>
      <c r="AS226" s="196"/>
    </row>
    <row r="227" spans="1:45" ht="15.75" customHeight="1">
      <c r="A227" s="196"/>
      <c r="B227" s="196"/>
      <c r="C227" s="88"/>
      <c r="D227" s="88"/>
      <c r="E227" s="88"/>
      <c r="F227" s="196"/>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196"/>
      <c r="AH227" s="196"/>
      <c r="AI227" s="196"/>
      <c r="AJ227" s="196"/>
      <c r="AK227" s="196"/>
      <c r="AL227" s="196"/>
      <c r="AM227" s="196"/>
      <c r="AN227" s="196"/>
      <c r="AO227" s="196"/>
      <c r="AP227" s="196"/>
      <c r="AQ227" s="196"/>
      <c r="AR227" s="196"/>
      <c r="AS227" s="196"/>
    </row>
    <row r="228" spans="1:45" ht="15.75" customHeight="1">
      <c r="A228" s="196"/>
      <c r="B228" s="196"/>
      <c r="C228" s="88"/>
      <c r="D228" s="88"/>
      <c r="E228" s="88"/>
      <c r="F228" s="196"/>
      <c r="G228" s="196"/>
      <c r="H228" s="196"/>
      <c r="I228" s="196"/>
      <c r="J228" s="196"/>
      <c r="K228" s="196"/>
      <c r="L228" s="196"/>
      <c r="M228" s="196"/>
      <c r="N228" s="196"/>
      <c r="O228" s="196"/>
      <c r="P228" s="196"/>
      <c r="Q228" s="196"/>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196"/>
      <c r="AN228" s="196"/>
      <c r="AO228" s="196"/>
      <c r="AP228" s="196"/>
      <c r="AQ228" s="196"/>
      <c r="AR228" s="196"/>
      <c r="AS228" s="196"/>
    </row>
    <row r="229" spans="1:45" ht="15.75" customHeight="1">
      <c r="A229" s="196"/>
      <c r="B229" s="196"/>
      <c r="C229" s="88"/>
      <c r="D229" s="88"/>
      <c r="E229" s="88"/>
      <c r="F229" s="196"/>
      <c r="G229" s="196"/>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196"/>
      <c r="AQ229" s="196"/>
      <c r="AR229" s="196"/>
      <c r="AS229" s="196"/>
    </row>
    <row r="230" spans="1:45" ht="15.75" customHeight="1">
      <c r="A230" s="196"/>
      <c r="B230" s="196"/>
      <c r="C230" s="88"/>
      <c r="D230" s="88"/>
      <c r="E230" s="88"/>
      <c r="F230" s="196"/>
      <c r="G230" s="196"/>
      <c r="H230" s="196"/>
      <c r="I230" s="196"/>
      <c r="J230" s="196"/>
      <c r="K230" s="196"/>
      <c r="L230" s="196"/>
      <c r="M230" s="196"/>
      <c r="N230" s="196"/>
      <c r="O230" s="196"/>
      <c r="P230" s="196"/>
      <c r="Q230" s="196"/>
      <c r="R230" s="196"/>
      <c r="S230" s="196"/>
      <c r="T230" s="196"/>
      <c r="U230" s="196"/>
      <c r="V230" s="196"/>
      <c r="W230" s="196"/>
      <c r="X230" s="196"/>
      <c r="Y230" s="196"/>
      <c r="Z230" s="196"/>
      <c r="AA230" s="196"/>
      <c r="AB230" s="196"/>
      <c r="AC230" s="196"/>
      <c r="AD230" s="196"/>
      <c r="AE230" s="196"/>
      <c r="AF230" s="196"/>
      <c r="AG230" s="196"/>
      <c r="AH230" s="196"/>
      <c r="AI230" s="196"/>
      <c r="AJ230" s="196"/>
      <c r="AK230" s="196"/>
      <c r="AL230" s="196"/>
      <c r="AM230" s="196"/>
      <c r="AN230" s="196"/>
      <c r="AO230" s="196"/>
      <c r="AP230" s="196"/>
      <c r="AQ230" s="196"/>
      <c r="AR230" s="196"/>
      <c r="AS230" s="196"/>
    </row>
    <row r="231" spans="1:45" ht="15.75" customHeight="1">
      <c r="A231" s="196"/>
      <c r="B231" s="196"/>
      <c r="C231" s="88"/>
      <c r="D231" s="88"/>
      <c r="E231" s="88"/>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c r="AR231" s="196"/>
      <c r="AS231" s="196"/>
    </row>
    <row r="232" spans="1:45" ht="15.75" customHeight="1">
      <c r="A232" s="196"/>
      <c r="B232" s="196"/>
      <c r="C232" s="88"/>
      <c r="D232" s="88"/>
      <c r="E232" s="88"/>
      <c r="F232" s="196"/>
      <c r="G232" s="196"/>
      <c r="H232" s="196"/>
      <c r="I232" s="196"/>
      <c r="J232" s="196"/>
      <c r="K232" s="196"/>
      <c r="L232" s="196"/>
      <c r="M232" s="196"/>
      <c r="N232" s="196"/>
      <c r="O232" s="196"/>
      <c r="P232" s="196"/>
      <c r="Q232" s="196"/>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6"/>
      <c r="AR232" s="196"/>
      <c r="AS232" s="196"/>
    </row>
    <row r="233" spans="1:45" ht="15.75" customHeight="1">
      <c r="A233" s="196"/>
      <c r="B233" s="196"/>
      <c r="C233" s="88"/>
      <c r="D233" s="88"/>
      <c r="E233" s="88"/>
      <c r="F233" s="196"/>
      <c r="G233" s="196"/>
      <c r="H233" s="196"/>
      <c r="I233" s="196"/>
      <c r="J233" s="196"/>
      <c r="K233" s="196"/>
      <c r="L233" s="196"/>
      <c r="M233" s="196"/>
      <c r="N233" s="196"/>
      <c r="O233" s="196"/>
      <c r="P233" s="196"/>
      <c r="Q233" s="196"/>
      <c r="R233" s="196"/>
      <c r="S233" s="196"/>
      <c r="T233" s="196"/>
      <c r="U233" s="196"/>
      <c r="V233" s="196"/>
      <c r="W233" s="196"/>
      <c r="X233" s="196"/>
      <c r="Y233" s="196"/>
      <c r="Z233" s="196"/>
      <c r="AA233" s="196"/>
      <c r="AB233" s="196"/>
      <c r="AC233" s="196"/>
      <c r="AD233" s="196"/>
      <c r="AE233" s="196"/>
      <c r="AF233" s="196"/>
      <c r="AG233" s="196"/>
      <c r="AH233" s="196"/>
      <c r="AI233" s="196"/>
      <c r="AJ233" s="196"/>
      <c r="AK233" s="196"/>
      <c r="AL233" s="196"/>
      <c r="AM233" s="196"/>
      <c r="AN233" s="196"/>
      <c r="AO233" s="196"/>
      <c r="AP233" s="196"/>
      <c r="AQ233" s="196"/>
      <c r="AR233" s="196"/>
      <c r="AS233" s="196"/>
    </row>
    <row r="234" spans="1:45" ht="15.75" customHeight="1">
      <c r="A234" s="196"/>
      <c r="B234" s="196"/>
      <c r="C234" s="88"/>
      <c r="D234" s="88"/>
      <c r="E234" s="88"/>
      <c r="F234" s="196"/>
      <c r="G234" s="196"/>
      <c r="H234" s="196"/>
      <c r="I234" s="196"/>
      <c r="J234" s="196"/>
      <c r="K234" s="196"/>
      <c r="L234" s="196"/>
      <c r="M234" s="196"/>
      <c r="N234" s="196"/>
      <c r="O234" s="196"/>
      <c r="P234" s="196"/>
      <c r="Q234" s="196"/>
      <c r="R234" s="196"/>
      <c r="S234" s="196"/>
      <c r="T234" s="196"/>
      <c r="U234" s="196"/>
      <c r="V234" s="196"/>
      <c r="W234" s="196"/>
      <c r="X234" s="196"/>
      <c r="Y234" s="196"/>
      <c r="Z234" s="196"/>
      <c r="AA234" s="196"/>
      <c r="AB234" s="196"/>
      <c r="AC234" s="196"/>
      <c r="AD234" s="196"/>
      <c r="AE234" s="196"/>
      <c r="AF234" s="196"/>
      <c r="AG234" s="196"/>
      <c r="AH234" s="196"/>
      <c r="AI234" s="196"/>
      <c r="AJ234" s="196"/>
      <c r="AK234" s="196"/>
      <c r="AL234" s="196"/>
      <c r="AM234" s="196"/>
      <c r="AN234" s="196"/>
      <c r="AO234" s="196"/>
      <c r="AP234" s="196"/>
      <c r="AQ234" s="196"/>
      <c r="AR234" s="196"/>
      <c r="AS234" s="196"/>
    </row>
    <row r="235" spans="1:45" ht="15.75" customHeight="1">
      <c r="A235" s="196"/>
      <c r="B235" s="196"/>
      <c r="C235" s="88"/>
      <c r="D235" s="88"/>
      <c r="E235" s="88"/>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c r="AR235" s="196"/>
      <c r="AS235" s="196"/>
    </row>
    <row r="236" spans="1:45" ht="15.75" customHeight="1">
      <c r="A236" s="196"/>
      <c r="B236" s="196"/>
      <c r="C236" s="88"/>
      <c r="D236" s="88"/>
      <c r="E236" s="88"/>
      <c r="F236" s="196"/>
      <c r="G236" s="196"/>
      <c r="H236" s="196"/>
      <c r="I236" s="196"/>
      <c r="J236" s="196"/>
      <c r="K236" s="196"/>
      <c r="L236" s="196"/>
      <c r="M236" s="196"/>
      <c r="N236" s="196"/>
      <c r="O236" s="196"/>
      <c r="P236" s="196"/>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row>
    <row r="237" spans="1:45" ht="15.75" customHeight="1">
      <c r="A237" s="196"/>
      <c r="B237" s="196"/>
      <c r="C237" s="88"/>
      <c r="D237" s="88"/>
      <c r="E237" s="88"/>
      <c r="F237" s="196"/>
      <c r="G237" s="196"/>
      <c r="H237" s="196"/>
      <c r="I237" s="196"/>
      <c r="J237" s="196"/>
      <c r="K237" s="196"/>
      <c r="L237" s="196"/>
      <c r="M237" s="196"/>
      <c r="N237" s="196"/>
      <c r="O237" s="196"/>
      <c r="P237" s="196"/>
      <c r="Q237" s="196"/>
      <c r="R237" s="196"/>
      <c r="S237" s="196"/>
      <c r="T237" s="196"/>
      <c r="U237" s="196"/>
      <c r="V237" s="196"/>
      <c r="W237" s="196"/>
      <c r="X237" s="196"/>
      <c r="Y237" s="196"/>
      <c r="Z237" s="196"/>
      <c r="AA237" s="196"/>
      <c r="AB237" s="196"/>
      <c r="AC237" s="196"/>
      <c r="AD237" s="196"/>
      <c r="AE237" s="196"/>
      <c r="AF237" s="196"/>
      <c r="AG237" s="196"/>
      <c r="AH237" s="196"/>
      <c r="AI237" s="196"/>
      <c r="AJ237" s="196"/>
      <c r="AK237" s="196"/>
      <c r="AL237" s="196"/>
      <c r="AM237" s="196"/>
      <c r="AN237" s="196"/>
      <c r="AO237" s="196"/>
      <c r="AP237" s="196"/>
      <c r="AQ237" s="196"/>
      <c r="AR237" s="196"/>
      <c r="AS237" s="196"/>
    </row>
    <row r="238" spans="1:45" ht="15.75" customHeight="1">
      <c r="A238" s="196"/>
      <c r="B238" s="196"/>
      <c r="C238" s="88"/>
      <c r="D238" s="88"/>
      <c r="E238" s="88"/>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6"/>
      <c r="AM238" s="196"/>
      <c r="AN238" s="196"/>
      <c r="AO238" s="196"/>
      <c r="AP238" s="196"/>
      <c r="AQ238" s="196"/>
      <c r="AR238" s="196"/>
      <c r="AS238" s="196"/>
    </row>
    <row r="239" spans="1:45" ht="15.75" customHeight="1">
      <c r="A239" s="196"/>
      <c r="B239" s="196"/>
      <c r="C239" s="88"/>
      <c r="D239" s="88"/>
      <c r="E239" s="88"/>
      <c r="F239" s="196"/>
      <c r="G239" s="196"/>
      <c r="H239" s="196"/>
      <c r="I239" s="196"/>
      <c r="J239" s="196"/>
      <c r="K239" s="196"/>
      <c r="L239" s="196"/>
      <c r="M239" s="196"/>
      <c r="N239" s="196"/>
      <c r="O239" s="196"/>
      <c r="P239" s="196"/>
      <c r="Q239" s="196"/>
      <c r="R239" s="196"/>
      <c r="S239" s="196"/>
      <c r="T239" s="196"/>
      <c r="U239" s="196"/>
      <c r="V239" s="196"/>
      <c r="W239" s="196"/>
      <c r="X239" s="196"/>
      <c r="Y239" s="196"/>
      <c r="Z239" s="196"/>
      <c r="AA239" s="196"/>
      <c r="AB239" s="196"/>
      <c r="AC239" s="196"/>
      <c r="AD239" s="196"/>
      <c r="AE239" s="196"/>
      <c r="AF239" s="196"/>
      <c r="AG239" s="196"/>
      <c r="AH239" s="196"/>
      <c r="AI239" s="196"/>
      <c r="AJ239" s="196"/>
      <c r="AK239" s="196"/>
      <c r="AL239" s="196"/>
      <c r="AM239" s="196"/>
      <c r="AN239" s="196"/>
      <c r="AO239" s="196"/>
      <c r="AP239" s="196"/>
      <c r="AQ239" s="196"/>
      <c r="AR239" s="196"/>
      <c r="AS239" s="196"/>
    </row>
    <row r="240" spans="1:45" ht="15.75" customHeight="1">
      <c r="A240" s="196"/>
      <c r="B240" s="196"/>
      <c r="C240" s="88"/>
      <c r="D240" s="88"/>
      <c r="E240" s="88"/>
      <c r="F240" s="196"/>
      <c r="G240" s="196"/>
      <c r="H240" s="196"/>
      <c r="I240" s="196"/>
      <c r="J240" s="196"/>
      <c r="K240" s="196"/>
      <c r="L240" s="196"/>
      <c r="M240" s="196"/>
      <c r="N240" s="196"/>
      <c r="O240" s="196"/>
      <c r="P240" s="196"/>
      <c r="Q240" s="196"/>
      <c r="R240" s="196"/>
      <c r="S240" s="196"/>
      <c r="T240" s="196"/>
      <c r="U240" s="196"/>
      <c r="V240" s="196"/>
      <c r="W240" s="196"/>
      <c r="X240" s="196"/>
      <c r="Y240" s="196"/>
      <c r="Z240" s="196"/>
      <c r="AA240" s="196"/>
      <c r="AB240" s="196"/>
      <c r="AC240" s="196"/>
      <c r="AD240" s="196"/>
      <c r="AE240" s="196"/>
      <c r="AF240" s="196"/>
      <c r="AG240" s="196"/>
      <c r="AH240" s="196"/>
      <c r="AI240" s="196"/>
      <c r="AJ240" s="196"/>
      <c r="AK240" s="196"/>
      <c r="AL240" s="196"/>
      <c r="AM240" s="196"/>
      <c r="AN240" s="196"/>
      <c r="AO240" s="196"/>
      <c r="AP240" s="196"/>
      <c r="AQ240" s="196"/>
      <c r="AR240" s="196"/>
      <c r="AS240" s="196"/>
    </row>
    <row r="241" spans="1:45" ht="15.75" customHeight="1">
      <c r="A241" s="196"/>
      <c r="B241" s="196"/>
      <c r="C241" s="88"/>
      <c r="D241" s="88"/>
      <c r="E241" s="88"/>
      <c r="F241" s="196"/>
      <c r="G241" s="196"/>
      <c r="H241" s="196"/>
      <c r="I241" s="196"/>
      <c r="J241" s="196"/>
      <c r="K241" s="196"/>
      <c r="L241" s="196"/>
      <c r="M241" s="196"/>
      <c r="N241" s="196"/>
      <c r="O241" s="196"/>
      <c r="P241" s="196"/>
      <c r="Q241" s="196"/>
      <c r="R241" s="196"/>
      <c r="S241" s="196"/>
      <c r="T241" s="196"/>
      <c r="U241" s="196"/>
      <c r="V241" s="196"/>
      <c r="W241" s="196"/>
      <c r="X241" s="196"/>
      <c r="Y241" s="196"/>
      <c r="Z241" s="196"/>
      <c r="AA241" s="196"/>
      <c r="AB241" s="196"/>
      <c r="AC241" s="196"/>
      <c r="AD241" s="196"/>
      <c r="AE241" s="196"/>
      <c r="AF241" s="196"/>
      <c r="AG241" s="196"/>
      <c r="AH241" s="196"/>
      <c r="AI241" s="196"/>
      <c r="AJ241" s="196"/>
      <c r="AK241" s="196"/>
      <c r="AL241" s="196"/>
      <c r="AM241" s="196"/>
      <c r="AN241" s="196"/>
      <c r="AO241" s="196"/>
      <c r="AP241" s="196"/>
      <c r="AQ241" s="196"/>
      <c r="AR241" s="196"/>
      <c r="AS241" s="196"/>
    </row>
    <row r="242" spans="1:45" ht="15.75" customHeight="1">
      <c r="A242" s="196"/>
      <c r="B242" s="196"/>
      <c r="C242" s="88"/>
      <c r="D242" s="88"/>
      <c r="E242" s="88"/>
      <c r="F242" s="196"/>
      <c r="G242" s="196"/>
      <c r="H242" s="196"/>
      <c r="I242" s="196"/>
      <c r="J242" s="196"/>
      <c r="K242" s="196"/>
      <c r="L242" s="196"/>
      <c r="M242" s="196"/>
      <c r="N242" s="196"/>
      <c r="O242" s="196"/>
      <c r="P242" s="196"/>
      <c r="Q242" s="196"/>
      <c r="R242" s="196"/>
      <c r="S242" s="196"/>
      <c r="T242" s="196"/>
      <c r="U242" s="196"/>
      <c r="V242" s="196"/>
      <c r="W242" s="196"/>
      <c r="X242" s="196"/>
      <c r="Y242" s="196"/>
      <c r="Z242" s="196"/>
      <c r="AA242" s="196"/>
      <c r="AB242" s="196"/>
      <c r="AC242" s="196"/>
      <c r="AD242" s="196"/>
      <c r="AE242" s="196"/>
      <c r="AF242" s="196"/>
      <c r="AG242" s="196"/>
      <c r="AH242" s="196"/>
      <c r="AI242" s="196"/>
      <c r="AJ242" s="196"/>
      <c r="AK242" s="196"/>
      <c r="AL242" s="196"/>
      <c r="AM242" s="196"/>
      <c r="AN242" s="196"/>
      <c r="AO242" s="196"/>
      <c r="AP242" s="196"/>
      <c r="AQ242" s="196"/>
      <c r="AR242" s="196"/>
      <c r="AS242" s="196"/>
    </row>
    <row r="243" spans="1:45" ht="15.75" customHeight="1">
      <c r="A243" s="196"/>
      <c r="B243" s="196"/>
      <c r="C243" s="88"/>
      <c r="D243" s="88"/>
      <c r="E243" s="88"/>
      <c r="F243" s="196"/>
      <c r="G243" s="196"/>
      <c r="H243" s="196"/>
      <c r="I243" s="196"/>
      <c r="J243" s="196"/>
      <c r="K243" s="196"/>
      <c r="L243" s="196"/>
      <c r="M243" s="196"/>
      <c r="N243" s="196"/>
      <c r="O243" s="196"/>
      <c r="P243" s="196"/>
      <c r="Q243" s="196"/>
      <c r="R243" s="196"/>
      <c r="S243" s="196"/>
      <c r="T243" s="196"/>
      <c r="U243" s="196"/>
      <c r="V243" s="196"/>
      <c r="W243" s="196"/>
      <c r="X243" s="196"/>
      <c r="Y243" s="196"/>
      <c r="Z243" s="196"/>
      <c r="AA243" s="196"/>
      <c r="AB243" s="196"/>
      <c r="AC243" s="196"/>
      <c r="AD243" s="196"/>
      <c r="AE243" s="196"/>
      <c r="AF243" s="196"/>
      <c r="AG243" s="196"/>
      <c r="AH243" s="196"/>
      <c r="AI243" s="196"/>
      <c r="AJ243" s="196"/>
      <c r="AK243" s="196"/>
      <c r="AL243" s="196"/>
      <c r="AM243" s="196"/>
      <c r="AN243" s="196"/>
      <c r="AO243" s="196"/>
      <c r="AP243" s="196"/>
      <c r="AQ243" s="196"/>
      <c r="AR243" s="196"/>
      <c r="AS243" s="196"/>
    </row>
    <row r="244" spans="1:45" ht="15.75" customHeight="1">
      <c r="A244" s="196"/>
      <c r="B244" s="196"/>
      <c r="C244" s="88"/>
      <c r="D244" s="88"/>
      <c r="E244" s="88"/>
      <c r="F244" s="196"/>
      <c r="G244" s="196"/>
      <c r="H244" s="196"/>
      <c r="I244" s="196"/>
      <c r="J244" s="196"/>
      <c r="K244" s="196"/>
      <c r="L244" s="196"/>
      <c r="M244" s="196"/>
      <c r="N244" s="196"/>
      <c r="O244" s="196"/>
      <c r="P244" s="196"/>
      <c r="Q244" s="196"/>
      <c r="R244" s="196"/>
      <c r="S244" s="196"/>
      <c r="T244" s="196"/>
      <c r="U244" s="196"/>
      <c r="V244" s="196"/>
      <c r="W244" s="196"/>
      <c r="X244" s="196"/>
      <c r="Y244" s="196"/>
      <c r="Z244" s="196"/>
      <c r="AA244" s="196"/>
      <c r="AB244" s="196"/>
      <c r="AC244" s="196"/>
      <c r="AD244" s="196"/>
      <c r="AE244" s="196"/>
      <c r="AF244" s="196"/>
      <c r="AG244" s="196"/>
      <c r="AH244" s="196"/>
      <c r="AI244" s="196"/>
      <c r="AJ244" s="196"/>
      <c r="AK244" s="196"/>
      <c r="AL244" s="196"/>
      <c r="AM244" s="196"/>
      <c r="AN244" s="196"/>
      <c r="AO244" s="196"/>
      <c r="AP244" s="196"/>
      <c r="AQ244" s="196"/>
      <c r="AR244" s="196"/>
      <c r="AS244" s="196"/>
    </row>
    <row r="245" spans="1:45" ht="15.75" customHeight="1">
      <c r="A245" s="196"/>
      <c r="B245" s="196"/>
      <c r="C245" s="88"/>
      <c r="D245" s="88"/>
      <c r="E245" s="88"/>
      <c r="F245" s="196"/>
      <c r="G245" s="196"/>
      <c r="H245" s="196"/>
      <c r="I245" s="196"/>
      <c r="J245" s="196"/>
      <c r="K245" s="196"/>
      <c r="L245" s="196"/>
      <c r="M245" s="196"/>
      <c r="N245" s="196"/>
      <c r="O245" s="196"/>
      <c r="P245" s="196"/>
      <c r="Q245" s="196"/>
      <c r="R245" s="196"/>
      <c r="S245" s="196"/>
      <c r="T245" s="196"/>
      <c r="U245" s="196"/>
      <c r="V245" s="196"/>
      <c r="W245" s="196"/>
      <c r="X245" s="196"/>
      <c r="Y245" s="196"/>
      <c r="Z245" s="196"/>
      <c r="AA245" s="196"/>
      <c r="AB245" s="196"/>
      <c r="AC245" s="196"/>
      <c r="AD245" s="196"/>
      <c r="AE245" s="196"/>
      <c r="AF245" s="196"/>
      <c r="AG245" s="196"/>
      <c r="AH245" s="196"/>
      <c r="AI245" s="196"/>
      <c r="AJ245" s="196"/>
      <c r="AK245" s="196"/>
      <c r="AL245" s="196"/>
      <c r="AM245" s="196"/>
      <c r="AN245" s="196"/>
      <c r="AO245" s="196"/>
      <c r="AP245" s="196"/>
      <c r="AQ245" s="196"/>
      <c r="AR245" s="196"/>
      <c r="AS245" s="196"/>
    </row>
    <row r="246" spans="1:45" ht="15.75" customHeight="1">
      <c r="A246" s="196"/>
      <c r="B246" s="196"/>
      <c r="C246" s="88"/>
      <c r="D246" s="88"/>
      <c r="E246" s="88"/>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row>
    <row r="247" spans="1:45" ht="15.75" customHeight="1">
      <c r="A247" s="196"/>
      <c r="B247" s="196"/>
      <c r="C247" s="88"/>
      <c r="D247" s="88"/>
      <c r="E247" s="88"/>
      <c r="F247" s="196"/>
      <c r="G247" s="196"/>
      <c r="H247" s="196"/>
      <c r="I247" s="196"/>
      <c r="J247" s="196"/>
      <c r="K247" s="196"/>
      <c r="L247" s="196"/>
      <c r="M247" s="196"/>
      <c r="N247" s="196"/>
      <c r="O247" s="196"/>
      <c r="P247" s="196"/>
      <c r="Q247" s="196"/>
      <c r="R247" s="196"/>
      <c r="S247" s="196"/>
      <c r="T247" s="196"/>
      <c r="U247" s="196"/>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c r="AR247" s="196"/>
      <c r="AS247" s="196"/>
    </row>
    <row r="248" spans="1:45" ht="15.75" customHeight="1">
      <c r="A248" s="196"/>
      <c r="B248" s="196"/>
      <c r="C248" s="88"/>
      <c r="D248" s="88"/>
      <c r="E248" s="88"/>
      <c r="F248" s="196"/>
      <c r="G248" s="196"/>
      <c r="H248" s="196"/>
      <c r="I248" s="196"/>
      <c r="J248" s="196"/>
      <c r="K248" s="196"/>
      <c r="L248" s="196"/>
      <c r="M248" s="196"/>
      <c r="N248" s="196"/>
      <c r="O248" s="196"/>
      <c r="P248" s="196"/>
      <c r="Q248" s="196"/>
      <c r="R248" s="196"/>
      <c r="S248" s="196"/>
      <c r="T248" s="196"/>
      <c r="U248" s="196"/>
      <c r="V248" s="196"/>
      <c r="W248" s="196"/>
      <c r="X248" s="196"/>
      <c r="Y248" s="196"/>
      <c r="Z248" s="196"/>
      <c r="AA248" s="196"/>
      <c r="AB248" s="196"/>
      <c r="AC248" s="196"/>
      <c r="AD248" s="196"/>
      <c r="AE248" s="196"/>
      <c r="AF248" s="196"/>
      <c r="AG248" s="196"/>
      <c r="AH248" s="196"/>
      <c r="AI248" s="196"/>
      <c r="AJ248" s="196"/>
      <c r="AK248" s="196"/>
      <c r="AL248" s="196"/>
      <c r="AM248" s="196"/>
      <c r="AN248" s="196"/>
      <c r="AO248" s="196"/>
      <c r="AP248" s="196"/>
      <c r="AQ248" s="196"/>
      <c r="AR248" s="196"/>
      <c r="AS248" s="196"/>
    </row>
    <row r="249" spans="1:45" ht="15.75" customHeight="1">
      <c r="A249" s="196"/>
      <c r="B249" s="196"/>
      <c r="C249" s="88"/>
      <c r="D249" s="88"/>
      <c r="E249" s="88"/>
      <c r="F249" s="196"/>
      <c r="G249" s="196"/>
      <c r="H249" s="196"/>
      <c r="I249" s="196"/>
      <c r="J249" s="196"/>
      <c r="K249" s="196"/>
      <c r="L249" s="196"/>
      <c r="M249" s="196"/>
      <c r="N249" s="196"/>
      <c r="O249" s="196"/>
      <c r="P249" s="196"/>
      <c r="Q249" s="196"/>
      <c r="R249" s="196"/>
      <c r="S249" s="196"/>
      <c r="T249" s="196"/>
      <c r="U249" s="196"/>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c r="AR249" s="196"/>
      <c r="AS249" s="196"/>
    </row>
    <row r="250" spans="1:45" ht="15.75" customHeight="1">
      <c r="A250" s="196"/>
      <c r="B250" s="196"/>
      <c r="C250" s="88"/>
      <c r="D250" s="88"/>
      <c r="E250" s="88"/>
      <c r="F250" s="196"/>
      <c r="G250" s="196"/>
      <c r="H250" s="196"/>
      <c r="I250" s="196"/>
      <c r="J250" s="196"/>
      <c r="K250" s="196"/>
      <c r="L250" s="196"/>
      <c r="M250" s="196"/>
      <c r="N250" s="196"/>
      <c r="O250" s="196"/>
      <c r="P250" s="196"/>
      <c r="Q250" s="196"/>
      <c r="R250" s="196"/>
      <c r="S250" s="196"/>
      <c r="T250" s="196"/>
      <c r="U250" s="196"/>
      <c r="V250" s="196"/>
      <c r="W250" s="196"/>
      <c r="X250" s="196"/>
      <c r="Y250" s="196"/>
      <c r="Z250" s="196"/>
      <c r="AA250" s="196"/>
      <c r="AB250" s="196"/>
      <c r="AC250" s="196"/>
      <c r="AD250" s="196"/>
      <c r="AE250" s="196"/>
      <c r="AF250" s="196"/>
      <c r="AG250" s="196"/>
      <c r="AH250" s="196"/>
      <c r="AI250" s="196"/>
      <c r="AJ250" s="196"/>
      <c r="AK250" s="196"/>
      <c r="AL250" s="196"/>
      <c r="AM250" s="196"/>
      <c r="AN250" s="196"/>
      <c r="AO250" s="196"/>
      <c r="AP250" s="196"/>
      <c r="AQ250" s="196"/>
      <c r="AR250" s="196"/>
      <c r="AS250" s="196"/>
    </row>
    <row r="251" spans="1:45" ht="15.75" customHeight="1">
      <c r="A251" s="196"/>
      <c r="B251" s="196"/>
      <c r="C251" s="88"/>
      <c r="D251" s="88"/>
      <c r="E251" s="88"/>
      <c r="F251" s="196"/>
      <c r="G251" s="196"/>
      <c r="H251" s="196"/>
      <c r="I251" s="196"/>
      <c r="J251" s="196"/>
      <c r="K251" s="196"/>
      <c r="L251" s="196"/>
      <c r="M251" s="196"/>
      <c r="N251" s="196"/>
      <c r="O251" s="196"/>
      <c r="P251" s="196"/>
      <c r="Q251" s="196"/>
      <c r="R251" s="196"/>
      <c r="S251" s="196"/>
      <c r="T251" s="196"/>
      <c r="U251" s="196"/>
      <c r="V251" s="196"/>
      <c r="W251" s="196"/>
      <c r="X251" s="196"/>
      <c r="Y251" s="196"/>
      <c r="Z251" s="196"/>
      <c r="AA251" s="196"/>
      <c r="AB251" s="196"/>
      <c r="AC251" s="196"/>
      <c r="AD251" s="196"/>
      <c r="AE251" s="196"/>
      <c r="AF251" s="196"/>
      <c r="AG251" s="196"/>
      <c r="AH251" s="196"/>
      <c r="AI251" s="196"/>
      <c r="AJ251" s="196"/>
      <c r="AK251" s="196"/>
      <c r="AL251" s="196"/>
      <c r="AM251" s="196"/>
      <c r="AN251" s="196"/>
      <c r="AO251" s="196"/>
      <c r="AP251" s="196"/>
      <c r="AQ251" s="196"/>
      <c r="AR251" s="196"/>
      <c r="AS251" s="196"/>
    </row>
    <row r="252" spans="1:45" ht="15.75" customHeight="1">
      <c r="A252" s="196"/>
      <c r="B252" s="196"/>
      <c r="C252" s="88"/>
      <c r="D252" s="88"/>
      <c r="E252" s="88"/>
      <c r="F252" s="196"/>
      <c r="G252" s="196"/>
      <c r="H252" s="196"/>
      <c r="I252" s="196"/>
      <c r="J252" s="196"/>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c r="AQ252" s="196"/>
      <c r="AR252" s="196"/>
      <c r="AS252" s="196"/>
    </row>
    <row r="253" spans="1:45" ht="15.75" customHeight="1">
      <c r="A253" s="196"/>
      <c r="B253" s="196"/>
      <c r="C253" s="88"/>
      <c r="D253" s="88"/>
      <c r="E253" s="88"/>
      <c r="F253" s="196"/>
      <c r="G253" s="196"/>
      <c r="H253" s="196"/>
      <c r="I253" s="196"/>
      <c r="J253" s="196"/>
      <c r="K253" s="196"/>
      <c r="L253" s="196"/>
      <c r="M253" s="196"/>
      <c r="N253" s="196"/>
      <c r="O253" s="196"/>
      <c r="P253" s="196"/>
      <c r="Q253" s="196"/>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row>
    <row r="254" spans="1:45" ht="15.75" customHeight="1">
      <c r="A254" s="196"/>
      <c r="B254" s="196"/>
      <c r="C254" s="88"/>
      <c r="D254" s="88"/>
      <c r="E254" s="88"/>
      <c r="F254" s="196"/>
      <c r="G254" s="196"/>
      <c r="H254" s="196"/>
      <c r="I254" s="196"/>
      <c r="J254" s="196"/>
      <c r="K254" s="196"/>
      <c r="L254" s="196"/>
      <c r="M254" s="196"/>
      <c r="N254" s="196"/>
      <c r="O254" s="196"/>
      <c r="P254" s="196"/>
      <c r="Q254" s="196"/>
      <c r="R254" s="196"/>
      <c r="S254" s="196"/>
      <c r="T254" s="196"/>
      <c r="U254" s="196"/>
      <c r="V254" s="196"/>
      <c r="W254" s="196"/>
      <c r="X254" s="196"/>
      <c r="Y254" s="196"/>
      <c r="Z254" s="196"/>
      <c r="AA254" s="196"/>
      <c r="AB254" s="196"/>
      <c r="AC254" s="196"/>
      <c r="AD254" s="196"/>
      <c r="AE254" s="196"/>
      <c r="AF254" s="196"/>
      <c r="AG254" s="196"/>
      <c r="AH254" s="196"/>
      <c r="AI254" s="196"/>
      <c r="AJ254" s="196"/>
      <c r="AK254" s="196"/>
      <c r="AL254" s="196"/>
      <c r="AM254" s="196"/>
      <c r="AN254" s="196"/>
      <c r="AO254" s="196"/>
      <c r="AP254" s="196"/>
      <c r="AQ254" s="196"/>
      <c r="AR254" s="196"/>
      <c r="AS254" s="196"/>
    </row>
    <row r="255" spans="1:45" ht="15.75" customHeight="1">
      <c r="A255" s="196"/>
      <c r="B255" s="196"/>
      <c r="C255" s="88"/>
      <c r="D255" s="88"/>
      <c r="E255" s="88"/>
      <c r="F255" s="196"/>
      <c r="G255" s="196"/>
      <c r="H255" s="196"/>
      <c r="I255" s="196"/>
      <c r="J255" s="196"/>
      <c r="K255" s="196"/>
      <c r="L255" s="196"/>
      <c r="M255" s="196"/>
      <c r="N255" s="196"/>
      <c r="O255" s="196"/>
      <c r="P255" s="196"/>
      <c r="Q255" s="196"/>
      <c r="R255" s="196"/>
      <c r="S255" s="196"/>
      <c r="T255" s="196"/>
      <c r="U255" s="196"/>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c r="AR255" s="196"/>
      <c r="AS255" s="196"/>
    </row>
    <row r="256" spans="1:45" ht="15.75" customHeight="1">
      <c r="A256" s="196"/>
      <c r="B256" s="196"/>
      <c r="C256" s="88"/>
      <c r="D256" s="88"/>
      <c r="E256" s="88"/>
      <c r="F256" s="196"/>
      <c r="G256" s="196"/>
      <c r="H256" s="196"/>
      <c r="I256" s="196"/>
      <c r="J256" s="196"/>
      <c r="K256" s="196"/>
      <c r="L256" s="196"/>
      <c r="M256" s="196"/>
      <c r="N256" s="196"/>
      <c r="O256" s="196"/>
      <c r="P256" s="196"/>
      <c r="Q256" s="196"/>
      <c r="R256" s="196"/>
      <c r="S256" s="196"/>
      <c r="T256" s="196"/>
      <c r="U256" s="196"/>
      <c r="V256" s="196"/>
      <c r="W256" s="196"/>
      <c r="X256" s="196"/>
      <c r="Y256" s="196"/>
      <c r="Z256" s="196"/>
      <c r="AA256" s="196"/>
      <c r="AB256" s="196"/>
      <c r="AC256" s="196"/>
      <c r="AD256" s="196"/>
      <c r="AE256" s="196"/>
      <c r="AF256" s="196"/>
      <c r="AG256" s="196"/>
      <c r="AH256" s="196"/>
      <c r="AI256" s="196"/>
      <c r="AJ256" s="196"/>
      <c r="AK256" s="196"/>
      <c r="AL256" s="196"/>
      <c r="AM256" s="196"/>
      <c r="AN256" s="196"/>
      <c r="AO256" s="196"/>
      <c r="AP256" s="196"/>
      <c r="AQ256" s="196"/>
      <c r="AR256" s="196"/>
      <c r="AS256" s="196"/>
    </row>
    <row r="257" spans="1:45" ht="15.75" customHeight="1">
      <c r="A257" s="196"/>
      <c r="B257" s="196"/>
      <c r="C257" s="88"/>
      <c r="D257" s="88"/>
      <c r="E257" s="88"/>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row>
    <row r="258" spans="1:45" ht="15.75" customHeight="1">
      <c r="A258" s="196"/>
      <c r="B258" s="196"/>
      <c r="C258" s="88"/>
      <c r="D258" s="88"/>
      <c r="E258" s="88"/>
      <c r="F258" s="196"/>
      <c r="G258" s="196"/>
      <c r="H258" s="196"/>
      <c r="I258" s="196"/>
      <c r="J258" s="196"/>
      <c r="K258" s="196"/>
      <c r="L258" s="196"/>
      <c r="M258" s="196"/>
      <c r="N258" s="196"/>
      <c r="O258" s="196"/>
      <c r="P258" s="196"/>
      <c r="Q258" s="196"/>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row>
    <row r="259" spans="1:45" ht="15.75" customHeight="1">
      <c r="A259" s="196"/>
      <c r="B259" s="196"/>
      <c r="C259" s="88"/>
      <c r="D259" s="88"/>
      <c r="E259" s="88"/>
      <c r="F259" s="196"/>
      <c r="G259" s="196"/>
      <c r="H259" s="196"/>
      <c r="I259" s="196"/>
      <c r="J259" s="196"/>
      <c r="K259" s="196"/>
      <c r="L259" s="196"/>
      <c r="M259" s="196"/>
      <c r="N259" s="196"/>
      <c r="O259" s="196"/>
      <c r="P259" s="196"/>
      <c r="Q259" s="196"/>
      <c r="R259" s="196"/>
      <c r="S259" s="196"/>
      <c r="T259" s="196"/>
      <c r="U259" s="196"/>
      <c r="V259" s="196"/>
      <c r="W259" s="196"/>
      <c r="X259" s="196"/>
      <c r="Y259" s="196"/>
      <c r="Z259" s="196"/>
      <c r="AA259" s="196"/>
      <c r="AB259" s="196"/>
      <c r="AC259" s="196"/>
      <c r="AD259" s="196"/>
      <c r="AE259" s="196"/>
      <c r="AF259" s="196"/>
      <c r="AG259" s="196"/>
      <c r="AH259" s="196"/>
      <c r="AI259" s="196"/>
      <c r="AJ259" s="196"/>
      <c r="AK259" s="196"/>
      <c r="AL259" s="196"/>
      <c r="AM259" s="196"/>
      <c r="AN259" s="196"/>
      <c r="AO259" s="196"/>
      <c r="AP259" s="196"/>
      <c r="AQ259" s="196"/>
      <c r="AR259" s="196"/>
      <c r="AS259" s="196"/>
    </row>
    <row r="260" spans="1:45" ht="15.75" customHeight="1">
      <c r="A260" s="196"/>
      <c r="B260" s="196"/>
      <c r="C260" s="88"/>
      <c r="D260" s="88"/>
      <c r="E260" s="88"/>
      <c r="F260" s="196"/>
      <c r="G260" s="196"/>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row>
    <row r="261" spans="1:45" ht="15.75" customHeight="1">
      <c r="A261" s="196"/>
      <c r="B261" s="196"/>
      <c r="C261" s="88"/>
      <c r="D261" s="88"/>
      <c r="E261" s="88"/>
      <c r="F261" s="196"/>
      <c r="G261" s="196"/>
      <c r="H261" s="196"/>
      <c r="I261" s="196"/>
      <c r="J261" s="196"/>
      <c r="K261" s="196"/>
      <c r="L261" s="196"/>
      <c r="M261" s="196"/>
      <c r="N261" s="196"/>
      <c r="O261" s="196"/>
      <c r="P261" s="196"/>
      <c r="Q261" s="196"/>
      <c r="R261" s="196"/>
      <c r="S261" s="196"/>
      <c r="T261" s="196"/>
      <c r="U261" s="196"/>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c r="AR261" s="196"/>
      <c r="AS261" s="196"/>
    </row>
    <row r="262" spans="1:45" ht="15.75" customHeight="1">
      <c r="A262" s="196"/>
      <c r="B262" s="196"/>
      <c r="C262" s="88"/>
      <c r="D262" s="88"/>
      <c r="E262" s="88"/>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row>
    <row r="263" spans="1:45" ht="15.75" customHeight="1">
      <c r="A263" s="196"/>
      <c r="B263" s="196"/>
      <c r="C263" s="88"/>
      <c r="D263" s="88"/>
      <c r="E263" s="88"/>
      <c r="F263" s="196"/>
      <c r="G263" s="196"/>
      <c r="H263" s="196"/>
      <c r="I263" s="196"/>
      <c r="J263" s="196"/>
      <c r="K263" s="196"/>
      <c r="L263" s="196"/>
      <c r="M263" s="196"/>
      <c r="N263" s="196"/>
      <c r="O263" s="196"/>
      <c r="P263" s="196"/>
      <c r="Q263" s="196"/>
      <c r="R263" s="196"/>
      <c r="S263" s="196"/>
      <c r="T263" s="196"/>
      <c r="U263" s="196"/>
      <c r="V263" s="196"/>
      <c r="W263" s="196"/>
      <c r="X263" s="196"/>
      <c r="Y263" s="196"/>
      <c r="Z263" s="196"/>
      <c r="AA263" s="196"/>
      <c r="AB263" s="196"/>
      <c r="AC263" s="196"/>
      <c r="AD263" s="196"/>
      <c r="AE263" s="196"/>
      <c r="AF263" s="196"/>
      <c r="AG263" s="196"/>
      <c r="AH263" s="196"/>
      <c r="AI263" s="196"/>
      <c r="AJ263" s="196"/>
      <c r="AK263" s="196"/>
      <c r="AL263" s="196"/>
      <c r="AM263" s="196"/>
      <c r="AN263" s="196"/>
      <c r="AO263" s="196"/>
      <c r="AP263" s="196"/>
      <c r="AQ263" s="196"/>
      <c r="AR263" s="196"/>
      <c r="AS263" s="196"/>
    </row>
    <row r="264" spans="1:45" ht="15.75" customHeight="1">
      <c r="A264" s="196"/>
      <c r="B264" s="196"/>
      <c r="C264" s="88"/>
      <c r="D264" s="88"/>
      <c r="E264" s="88"/>
      <c r="F264" s="196"/>
      <c r="G264" s="196"/>
      <c r="H264" s="196"/>
      <c r="I264" s="196"/>
      <c r="J264" s="196"/>
      <c r="K264" s="196"/>
      <c r="L264" s="196"/>
      <c r="M264" s="196"/>
      <c r="N264" s="196"/>
      <c r="O264" s="196"/>
      <c r="P264" s="196"/>
      <c r="Q264" s="196"/>
      <c r="R264" s="196"/>
      <c r="S264" s="196"/>
      <c r="T264" s="196"/>
      <c r="U264" s="196"/>
      <c r="V264" s="196"/>
      <c r="W264" s="196"/>
      <c r="X264" s="196"/>
      <c r="Y264" s="196"/>
      <c r="Z264" s="196"/>
      <c r="AA264" s="196"/>
      <c r="AB264" s="196"/>
      <c r="AC264" s="196"/>
      <c r="AD264" s="196"/>
      <c r="AE264" s="196"/>
      <c r="AF264" s="196"/>
      <c r="AG264" s="196"/>
      <c r="AH264" s="196"/>
      <c r="AI264" s="196"/>
      <c r="AJ264" s="196"/>
      <c r="AK264" s="196"/>
      <c r="AL264" s="196"/>
      <c r="AM264" s="196"/>
      <c r="AN264" s="196"/>
      <c r="AO264" s="196"/>
      <c r="AP264" s="196"/>
      <c r="AQ264" s="196"/>
      <c r="AR264" s="196"/>
      <c r="AS264" s="196"/>
    </row>
    <row r="265" spans="1:45" ht="15.75" customHeight="1">
      <c r="A265" s="196"/>
      <c r="B265" s="196"/>
      <c r="C265" s="88"/>
      <c r="D265" s="88"/>
      <c r="E265" s="88"/>
      <c r="F265" s="196"/>
      <c r="G265" s="196"/>
      <c r="H265" s="196"/>
      <c r="I265" s="196"/>
      <c r="J265" s="196"/>
      <c r="K265" s="196"/>
      <c r="L265" s="196"/>
      <c r="M265" s="196"/>
      <c r="N265" s="196"/>
      <c r="O265" s="196"/>
      <c r="P265" s="196"/>
      <c r="Q265" s="196"/>
      <c r="R265" s="196"/>
      <c r="S265" s="196"/>
      <c r="T265" s="196"/>
      <c r="U265" s="196"/>
      <c r="V265" s="196"/>
      <c r="W265" s="196"/>
      <c r="X265" s="196"/>
      <c r="Y265" s="196"/>
      <c r="Z265" s="196"/>
      <c r="AA265" s="196"/>
      <c r="AB265" s="196"/>
      <c r="AC265" s="196"/>
      <c r="AD265" s="196"/>
      <c r="AE265" s="196"/>
      <c r="AF265" s="196"/>
      <c r="AG265" s="196"/>
      <c r="AH265" s="196"/>
      <c r="AI265" s="196"/>
      <c r="AJ265" s="196"/>
      <c r="AK265" s="196"/>
      <c r="AL265" s="196"/>
      <c r="AM265" s="196"/>
      <c r="AN265" s="196"/>
      <c r="AO265" s="196"/>
      <c r="AP265" s="196"/>
      <c r="AQ265" s="196"/>
      <c r="AR265" s="196"/>
      <c r="AS265" s="196"/>
    </row>
    <row r="266" spans="1:45" ht="15.75" customHeight="1">
      <c r="A266" s="196"/>
      <c r="B266" s="196"/>
      <c r="C266" s="88"/>
      <c r="D266" s="88"/>
      <c r="E266" s="88"/>
      <c r="F266" s="196"/>
      <c r="G266" s="196"/>
      <c r="H266" s="196"/>
      <c r="I266" s="196"/>
      <c r="J266" s="196"/>
      <c r="K266" s="196"/>
      <c r="L266" s="196"/>
      <c r="M266" s="196"/>
      <c r="N266" s="196"/>
      <c r="O266" s="196"/>
      <c r="P266" s="196"/>
      <c r="Q266" s="196"/>
      <c r="R266" s="196"/>
      <c r="S266" s="196"/>
      <c r="T266" s="196"/>
      <c r="U266" s="196"/>
      <c r="V266" s="196"/>
      <c r="W266" s="196"/>
      <c r="X266" s="196"/>
      <c r="Y266" s="196"/>
      <c r="Z266" s="196"/>
      <c r="AA266" s="196"/>
      <c r="AB266" s="196"/>
      <c r="AC266" s="196"/>
      <c r="AD266" s="196"/>
      <c r="AE266" s="196"/>
      <c r="AF266" s="196"/>
      <c r="AG266" s="196"/>
      <c r="AH266" s="196"/>
      <c r="AI266" s="196"/>
      <c r="AJ266" s="196"/>
      <c r="AK266" s="196"/>
      <c r="AL266" s="196"/>
      <c r="AM266" s="196"/>
      <c r="AN266" s="196"/>
      <c r="AO266" s="196"/>
      <c r="AP266" s="196"/>
      <c r="AQ266" s="196"/>
      <c r="AR266" s="196"/>
      <c r="AS266" s="196"/>
    </row>
    <row r="267" spans="1:45" ht="15.75" customHeight="1">
      <c r="A267" s="196"/>
      <c r="B267" s="196"/>
      <c r="C267" s="88"/>
      <c r="D267" s="88"/>
      <c r="E267" s="88"/>
      <c r="F267" s="196"/>
      <c r="G267" s="196"/>
      <c r="H267" s="196"/>
      <c r="I267" s="196"/>
      <c r="J267" s="196"/>
      <c r="K267" s="196"/>
      <c r="L267" s="196"/>
      <c r="M267" s="196"/>
      <c r="N267" s="196"/>
      <c r="O267" s="196"/>
      <c r="P267" s="196"/>
      <c r="Q267" s="196"/>
      <c r="R267" s="196"/>
      <c r="S267" s="196"/>
      <c r="T267" s="196"/>
      <c r="U267" s="196"/>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Q267" s="196"/>
      <c r="AR267" s="196"/>
      <c r="AS267" s="196"/>
    </row>
    <row r="268" spans="1:45" ht="15.75" customHeight="1">
      <c r="A268" s="196"/>
      <c r="B268" s="196"/>
      <c r="C268" s="88"/>
      <c r="D268" s="88"/>
      <c r="E268" s="88"/>
      <c r="F268" s="196"/>
      <c r="G268" s="196"/>
      <c r="H268" s="196"/>
      <c r="I268" s="196"/>
      <c r="J268" s="196"/>
      <c r="K268" s="196"/>
      <c r="L268" s="196"/>
      <c r="M268" s="196"/>
      <c r="N268" s="196"/>
      <c r="O268" s="196"/>
      <c r="P268" s="196"/>
      <c r="Q268" s="196"/>
      <c r="R268" s="196"/>
      <c r="S268" s="196"/>
      <c r="T268" s="196"/>
      <c r="U268" s="196"/>
      <c r="V268" s="196"/>
      <c r="W268" s="196"/>
      <c r="X268" s="196"/>
      <c r="Y268" s="196"/>
      <c r="Z268" s="196"/>
      <c r="AA268" s="196"/>
      <c r="AB268" s="196"/>
      <c r="AC268" s="196"/>
      <c r="AD268" s="196"/>
      <c r="AE268" s="196"/>
      <c r="AF268" s="196"/>
      <c r="AG268" s="196"/>
      <c r="AH268" s="196"/>
      <c r="AI268" s="196"/>
      <c r="AJ268" s="196"/>
      <c r="AK268" s="196"/>
      <c r="AL268" s="196"/>
      <c r="AM268" s="196"/>
      <c r="AN268" s="196"/>
      <c r="AO268" s="196"/>
      <c r="AP268" s="196"/>
      <c r="AQ268" s="196"/>
      <c r="AR268" s="196"/>
      <c r="AS268" s="196"/>
    </row>
    <row r="269" spans="1:45" ht="15.75" customHeight="1">
      <c r="A269" s="196"/>
      <c r="B269" s="196"/>
      <c r="C269" s="88"/>
      <c r="D269" s="88"/>
      <c r="E269" s="88"/>
      <c r="F269" s="196"/>
      <c r="G269" s="196"/>
      <c r="H269" s="196"/>
      <c r="I269" s="196"/>
      <c r="J269" s="196"/>
      <c r="K269" s="196"/>
      <c r="L269" s="196"/>
      <c r="M269" s="196"/>
      <c r="N269" s="196"/>
      <c r="O269" s="196"/>
      <c r="P269" s="196"/>
      <c r="Q269" s="196"/>
      <c r="R269" s="196"/>
      <c r="S269" s="196"/>
      <c r="T269" s="196"/>
      <c r="U269" s="196"/>
      <c r="V269" s="196"/>
      <c r="W269" s="196"/>
      <c r="X269" s="196"/>
      <c r="Y269" s="196"/>
      <c r="Z269" s="196"/>
      <c r="AA269" s="196"/>
      <c r="AB269" s="196"/>
      <c r="AC269" s="196"/>
      <c r="AD269" s="196"/>
      <c r="AE269" s="196"/>
      <c r="AF269" s="196"/>
      <c r="AG269" s="196"/>
      <c r="AH269" s="196"/>
      <c r="AI269" s="196"/>
      <c r="AJ269" s="196"/>
      <c r="AK269" s="196"/>
      <c r="AL269" s="196"/>
      <c r="AM269" s="196"/>
      <c r="AN269" s="196"/>
      <c r="AO269" s="196"/>
      <c r="AP269" s="196"/>
      <c r="AQ269" s="196"/>
      <c r="AR269" s="196"/>
      <c r="AS269" s="196"/>
    </row>
    <row r="270" spans="1:45" ht="15.75" customHeight="1">
      <c r="A270" s="196"/>
      <c r="B270" s="196"/>
      <c r="C270" s="88"/>
      <c r="D270" s="88"/>
      <c r="E270" s="88"/>
      <c r="F270" s="196"/>
      <c r="G270" s="196"/>
      <c r="H270" s="196"/>
      <c r="I270" s="196"/>
      <c r="J270" s="196"/>
      <c r="K270" s="196"/>
      <c r="L270" s="196"/>
      <c r="M270" s="196"/>
      <c r="N270" s="196"/>
      <c r="O270" s="196"/>
      <c r="P270" s="196"/>
      <c r="Q270" s="196"/>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row>
    <row r="271" spans="1:45" ht="15.75" customHeight="1">
      <c r="A271" s="196"/>
      <c r="B271" s="196"/>
      <c r="C271" s="88"/>
      <c r="D271" s="88"/>
      <c r="E271" s="88"/>
      <c r="F271" s="196"/>
      <c r="G271" s="196"/>
      <c r="H271" s="196"/>
      <c r="I271" s="196"/>
      <c r="J271" s="196"/>
      <c r="K271" s="196"/>
      <c r="L271" s="196"/>
      <c r="M271" s="196"/>
      <c r="N271" s="196"/>
      <c r="O271" s="196"/>
      <c r="P271" s="196"/>
      <c r="Q271" s="196"/>
      <c r="R271" s="196"/>
      <c r="S271" s="196"/>
      <c r="T271" s="196"/>
      <c r="U271" s="196"/>
      <c r="V271" s="196"/>
      <c r="W271" s="196"/>
      <c r="X271" s="196"/>
      <c r="Y271" s="196"/>
      <c r="Z271" s="196"/>
      <c r="AA271" s="196"/>
      <c r="AB271" s="196"/>
      <c r="AC271" s="196"/>
      <c r="AD271" s="196"/>
      <c r="AE271" s="196"/>
      <c r="AF271" s="196"/>
      <c r="AG271" s="196"/>
      <c r="AH271" s="196"/>
      <c r="AI271" s="196"/>
      <c r="AJ271" s="196"/>
      <c r="AK271" s="196"/>
      <c r="AL271" s="196"/>
      <c r="AM271" s="196"/>
      <c r="AN271" s="196"/>
      <c r="AO271" s="196"/>
      <c r="AP271" s="196"/>
      <c r="AQ271" s="196"/>
      <c r="AR271" s="196"/>
      <c r="AS271" s="196"/>
    </row>
    <row r="272" spans="1:45" ht="15.75" customHeight="1">
      <c r="A272" s="196"/>
      <c r="B272" s="196"/>
      <c r="C272" s="88"/>
      <c r="D272" s="88"/>
      <c r="E272" s="88"/>
      <c r="F272" s="196"/>
      <c r="G272" s="196"/>
      <c r="H272" s="196"/>
      <c r="I272" s="196"/>
      <c r="J272" s="196"/>
      <c r="K272" s="196"/>
      <c r="L272" s="196"/>
      <c r="M272" s="196"/>
      <c r="N272" s="196"/>
      <c r="O272" s="196"/>
      <c r="P272" s="196"/>
      <c r="Q272" s="196"/>
      <c r="R272" s="196"/>
      <c r="S272" s="196"/>
      <c r="T272" s="196"/>
      <c r="U272" s="196"/>
      <c r="V272" s="196"/>
      <c r="W272" s="196"/>
      <c r="X272" s="196"/>
      <c r="Y272" s="196"/>
      <c r="Z272" s="196"/>
      <c r="AA272" s="196"/>
      <c r="AB272" s="196"/>
      <c r="AC272" s="196"/>
      <c r="AD272" s="196"/>
      <c r="AE272" s="196"/>
      <c r="AF272" s="196"/>
      <c r="AG272" s="196"/>
      <c r="AH272" s="196"/>
      <c r="AI272" s="196"/>
      <c r="AJ272" s="196"/>
      <c r="AK272" s="196"/>
      <c r="AL272" s="196"/>
      <c r="AM272" s="196"/>
      <c r="AN272" s="196"/>
      <c r="AO272" s="196"/>
      <c r="AP272" s="196"/>
      <c r="AQ272" s="196"/>
      <c r="AR272" s="196"/>
      <c r="AS272" s="196"/>
    </row>
    <row r="273" spans="1:45" ht="15.75" customHeight="1">
      <c r="A273" s="196"/>
      <c r="B273" s="196"/>
      <c r="C273" s="88"/>
      <c r="D273" s="88"/>
      <c r="E273" s="88"/>
      <c r="F273" s="196"/>
      <c r="G273" s="196"/>
      <c r="H273" s="196"/>
      <c r="I273" s="196"/>
      <c r="J273" s="196"/>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6"/>
      <c r="AN273" s="196"/>
      <c r="AO273" s="196"/>
      <c r="AP273" s="196"/>
      <c r="AQ273" s="196"/>
      <c r="AR273" s="196"/>
      <c r="AS273" s="196"/>
    </row>
    <row r="274" spans="1:45" ht="15.75" customHeight="1">
      <c r="A274" s="196"/>
      <c r="B274" s="196"/>
      <c r="C274" s="88"/>
      <c r="D274" s="88"/>
      <c r="E274" s="88"/>
      <c r="F274" s="196"/>
      <c r="G274" s="196"/>
      <c r="H274" s="196"/>
      <c r="I274" s="196"/>
      <c r="J274" s="196"/>
      <c r="K274" s="196"/>
      <c r="L274" s="196"/>
      <c r="M274" s="196"/>
      <c r="N274" s="196"/>
      <c r="O274" s="196"/>
      <c r="P274" s="196"/>
      <c r="Q274" s="196"/>
      <c r="R274" s="196"/>
      <c r="S274" s="196"/>
      <c r="T274" s="196"/>
      <c r="U274" s="196"/>
      <c r="V274" s="196"/>
      <c r="W274" s="196"/>
      <c r="X274" s="196"/>
      <c r="Y274" s="196"/>
      <c r="Z274" s="196"/>
      <c r="AA274" s="196"/>
      <c r="AB274" s="196"/>
      <c r="AC274" s="196"/>
      <c r="AD274" s="196"/>
      <c r="AE274" s="196"/>
      <c r="AF274" s="196"/>
      <c r="AG274" s="196"/>
      <c r="AH274" s="196"/>
      <c r="AI274" s="196"/>
      <c r="AJ274" s="196"/>
      <c r="AK274" s="196"/>
      <c r="AL274" s="196"/>
      <c r="AM274" s="196"/>
      <c r="AN274" s="196"/>
      <c r="AO274" s="196"/>
      <c r="AP274" s="196"/>
      <c r="AQ274" s="196"/>
      <c r="AR274" s="196"/>
      <c r="AS274" s="196"/>
    </row>
    <row r="275" spans="1:45" ht="15.75" customHeight="1">
      <c r="A275" s="196"/>
      <c r="B275" s="196"/>
      <c r="C275" s="88"/>
      <c r="D275" s="88"/>
      <c r="E275" s="88"/>
      <c r="F275" s="196"/>
      <c r="G275" s="196"/>
      <c r="H275" s="196"/>
      <c r="I275" s="196"/>
      <c r="J275" s="196"/>
      <c r="K275" s="196"/>
      <c r="L275" s="196"/>
      <c r="M275" s="196"/>
      <c r="N275" s="196"/>
      <c r="O275" s="196"/>
      <c r="P275" s="196"/>
      <c r="Q275" s="196"/>
      <c r="R275" s="196"/>
      <c r="S275" s="196"/>
      <c r="T275" s="196"/>
      <c r="U275" s="196"/>
      <c r="V275" s="196"/>
      <c r="W275" s="196"/>
      <c r="X275" s="196"/>
      <c r="Y275" s="196"/>
      <c r="Z275" s="196"/>
      <c r="AA275" s="196"/>
      <c r="AB275" s="196"/>
      <c r="AC275" s="196"/>
      <c r="AD275" s="196"/>
      <c r="AE275" s="196"/>
      <c r="AF275" s="196"/>
      <c r="AG275" s="196"/>
      <c r="AH275" s="196"/>
      <c r="AI275" s="196"/>
      <c r="AJ275" s="196"/>
      <c r="AK275" s="196"/>
      <c r="AL275" s="196"/>
      <c r="AM275" s="196"/>
      <c r="AN275" s="196"/>
      <c r="AO275" s="196"/>
      <c r="AP275" s="196"/>
      <c r="AQ275" s="196"/>
      <c r="AR275" s="196"/>
      <c r="AS275" s="196"/>
    </row>
    <row r="276" spans="1:45" ht="15.75" customHeight="1">
      <c r="A276" s="196"/>
      <c r="B276" s="196"/>
      <c r="C276" s="88"/>
      <c r="D276" s="88"/>
      <c r="E276" s="88"/>
      <c r="F276" s="196"/>
      <c r="G276" s="196"/>
      <c r="H276" s="196"/>
      <c r="I276" s="196"/>
      <c r="J276" s="196"/>
      <c r="K276" s="196"/>
      <c r="L276" s="196"/>
      <c r="M276" s="196"/>
      <c r="N276" s="196"/>
      <c r="O276" s="196"/>
      <c r="P276" s="196"/>
      <c r="Q276" s="196"/>
      <c r="R276" s="196"/>
      <c r="S276" s="196"/>
      <c r="T276" s="196"/>
      <c r="U276" s="196"/>
      <c r="V276" s="196"/>
      <c r="W276" s="196"/>
      <c r="X276" s="196"/>
      <c r="Y276" s="196"/>
      <c r="Z276" s="196"/>
      <c r="AA276" s="196"/>
      <c r="AB276" s="196"/>
      <c r="AC276" s="196"/>
      <c r="AD276" s="196"/>
      <c r="AE276" s="196"/>
      <c r="AF276" s="196"/>
      <c r="AG276" s="196"/>
      <c r="AH276" s="196"/>
      <c r="AI276" s="196"/>
      <c r="AJ276" s="196"/>
      <c r="AK276" s="196"/>
      <c r="AL276" s="196"/>
      <c r="AM276" s="196"/>
      <c r="AN276" s="196"/>
      <c r="AO276" s="196"/>
      <c r="AP276" s="196"/>
      <c r="AQ276" s="196"/>
      <c r="AR276" s="196"/>
      <c r="AS276" s="196"/>
    </row>
    <row r="277" spans="1:45" ht="15.75" customHeight="1">
      <c r="A277" s="196"/>
      <c r="B277" s="196"/>
      <c r="C277" s="88"/>
      <c r="D277" s="88"/>
      <c r="E277" s="88"/>
      <c r="F277" s="196"/>
      <c r="G277" s="196"/>
      <c r="H277" s="196"/>
      <c r="I277" s="196"/>
      <c r="J277" s="196"/>
      <c r="K277" s="196"/>
      <c r="L277" s="196"/>
      <c r="M277" s="196"/>
      <c r="N277" s="196"/>
      <c r="O277" s="196"/>
      <c r="P277" s="196"/>
      <c r="Q277" s="196"/>
      <c r="R277" s="196"/>
      <c r="S277" s="196"/>
      <c r="T277" s="196"/>
      <c r="U277" s="196"/>
      <c r="V277" s="196"/>
      <c r="W277" s="196"/>
      <c r="X277" s="196"/>
      <c r="Y277" s="196"/>
      <c r="Z277" s="196"/>
      <c r="AA277" s="196"/>
      <c r="AB277" s="196"/>
      <c r="AC277" s="196"/>
      <c r="AD277" s="196"/>
      <c r="AE277" s="196"/>
      <c r="AF277" s="196"/>
      <c r="AG277" s="196"/>
      <c r="AH277" s="196"/>
      <c r="AI277" s="196"/>
      <c r="AJ277" s="196"/>
      <c r="AK277" s="196"/>
      <c r="AL277" s="196"/>
      <c r="AM277" s="196"/>
      <c r="AN277" s="196"/>
      <c r="AO277" s="196"/>
      <c r="AP277" s="196"/>
      <c r="AQ277" s="196"/>
      <c r="AR277" s="196"/>
      <c r="AS277" s="196"/>
    </row>
    <row r="278" spans="1:45" ht="15.75" customHeight="1">
      <c r="A278" s="196"/>
      <c r="B278" s="196"/>
      <c r="C278" s="88"/>
      <c r="D278" s="88"/>
      <c r="E278" s="88"/>
      <c r="F278" s="196"/>
      <c r="G278" s="196"/>
      <c r="H278" s="196"/>
      <c r="I278" s="196"/>
      <c r="J278" s="196"/>
      <c r="K278" s="196"/>
      <c r="L278" s="196"/>
      <c r="M278" s="196"/>
      <c r="N278" s="196"/>
      <c r="O278" s="196"/>
      <c r="P278" s="196"/>
      <c r="Q278" s="196"/>
      <c r="R278" s="196"/>
      <c r="S278" s="196"/>
      <c r="T278" s="196"/>
      <c r="U278" s="196"/>
      <c r="V278" s="196"/>
      <c r="W278" s="196"/>
      <c r="X278" s="196"/>
      <c r="Y278" s="196"/>
      <c r="Z278" s="196"/>
      <c r="AA278" s="196"/>
      <c r="AB278" s="196"/>
      <c r="AC278" s="196"/>
      <c r="AD278" s="196"/>
      <c r="AE278" s="196"/>
      <c r="AF278" s="196"/>
      <c r="AG278" s="196"/>
      <c r="AH278" s="196"/>
      <c r="AI278" s="196"/>
      <c r="AJ278" s="196"/>
      <c r="AK278" s="196"/>
      <c r="AL278" s="196"/>
      <c r="AM278" s="196"/>
      <c r="AN278" s="196"/>
      <c r="AO278" s="196"/>
      <c r="AP278" s="196"/>
      <c r="AQ278" s="196"/>
      <c r="AR278" s="196"/>
      <c r="AS278" s="196"/>
    </row>
    <row r="279" spans="1:45" ht="15.75" customHeight="1">
      <c r="A279" s="196"/>
      <c r="B279" s="196"/>
      <c r="C279" s="88"/>
      <c r="D279" s="88"/>
      <c r="E279" s="88"/>
      <c r="F279" s="196"/>
      <c r="G279" s="196"/>
      <c r="H279" s="196"/>
      <c r="I279" s="196"/>
      <c r="J279" s="196"/>
      <c r="K279" s="196"/>
      <c r="L279" s="196"/>
      <c r="M279" s="196"/>
      <c r="N279" s="196"/>
      <c r="O279" s="196"/>
      <c r="P279" s="196"/>
      <c r="Q279" s="196"/>
      <c r="R279" s="196"/>
      <c r="S279" s="196"/>
      <c r="T279" s="196"/>
      <c r="U279" s="196"/>
      <c r="V279" s="196"/>
      <c r="W279" s="196"/>
      <c r="X279" s="196"/>
      <c r="Y279" s="196"/>
      <c r="Z279" s="196"/>
      <c r="AA279" s="196"/>
      <c r="AB279" s="196"/>
      <c r="AC279" s="196"/>
      <c r="AD279" s="196"/>
      <c r="AE279" s="196"/>
      <c r="AF279" s="196"/>
      <c r="AG279" s="196"/>
      <c r="AH279" s="196"/>
      <c r="AI279" s="196"/>
      <c r="AJ279" s="196"/>
      <c r="AK279" s="196"/>
      <c r="AL279" s="196"/>
      <c r="AM279" s="196"/>
      <c r="AN279" s="196"/>
      <c r="AO279" s="196"/>
      <c r="AP279" s="196"/>
      <c r="AQ279" s="196"/>
      <c r="AR279" s="196"/>
      <c r="AS279" s="196"/>
    </row>
    <row r="280" spans="1:45" ht="15.75" customHeight="1">
      <c r="A280" s="196"/>
      <c r="B280" s="196"/>
      <c r="C280" s="88"/>
      <c r="D280" s="88"/>
      <c r="E280" s="88"/>
      <c r="F280" s="196"/>
      <c r="G280" s="196"/>
      <c r="H280" s="196"/>
      <c r="I280" s="196"/>
      <c r="J280" s="196"/>
      <c r="K280" s="196"/>
      <c r="L280" s="196"/>
      <c r="M280" s="196"/>
      <c r="N280" s="196"/>
      <c r="O280" s="196"/>
      <c r="P280" s="196"/>
      <c r="Q280" s="196"/>
      <c r="R280" s="196"/>
      <c r="S280" s="196"/>
      <c r="T280" s="196"/>
      <c r="U280" s="196"/>
      <c r="V280" s="196"/>
      <c r="W280" s="196"/>
      <c r="X280" s="196"/>
      <c r="Y280" s="196"/>
      <c r="Z280" s="196"/>
      <c r="AA280" s="196"/>
      <c r="AB280" s="196"/>
      <c r="AC280" s="196"/>
      <c r="AD280" s="196"/>
      <c r="AE280" s="196"/>
      <c r="AF280" s="196"/>
      <c r="AG280" s="196"/>
      <c r="AH280" s="196"/>
      <c r="AI280" s="196"/>
      <c r="AJ280" s="196"/>
      <c r="AK280" s="196"/>
      <c r="AL280" s="196"/>
      <c r="AM280" s="196"/>
      <c r="AN280" s="196"/>
      <c r="AO280" s="196"/>
      <c r="AP280" s="196"/>
      <c r="AQ280" s="196"/>
      <c r="AR280" s="196"/>
      <c r="AS280" s="196"/>
    </row>
    <row r="281" spans="1:45" ht="15.75" customHeight="1">
      <c r="A281" s="196"/>
      <c r="B281" s="196"/>
      <c r="C281" s="88"/>
      <c r="D281" s="88"/>
      <c r="E281" s="88"/>
      <c r="F281" s="196"/>
      <c r="G281" s="196"/>
      <c r="H281" s="196"/>
      <c r="I281" s="196"/>
      <c r="J281" s="196"/>
      <c r="K281" s="196"/>
      <c r="L281" s="196"/>
      <c r="M281" s="196"/>
      <c r="N281" s="196"/>
      <c r="O281" s="196"/>
      <c r="P281" s="196"/>
      <c r="Q281" s="196"/>
      <c r="R281" s="196"/>
      <c r="S281" s="196"/>
      <c r="T281" s="196"/>
      <c r="U281" s="196"/>
      <c r="V281" s="196"/>
      <c r="W281" s="196"/>
      <c r="X281" s="196"/>
      <c r="Y281" s="196"/>
      <c r="Z281" s="196"/>
      <c r="AA281" s="196"/>
      <c r="AB281" s="196"/>
      <c r="AC281" s="196"/>
      <c r="AD281" s="196"/>
      <c r="AE281" s="196"/>
      <c r="AF281" s="196"/>
      <c r="AG281" s="196"/>
      <c r="AH281" s="196"/>
      <c r="AI281" s="196"/>
      <c r="AJ281" s="196"/>
      <c r="AK281" s="196"/>
      <c r="AL281" s="196"/>
      <c r="AM281" s="196"/>
      <c r="AN281" s="196"/>
      <c r="AO281" s="196"/>
      <c r="AP281" s="196"/>
      <c r="AQ281" s="196"/>
      <c r="AR281" s="196"/>
      <c r="AS281" s="196"/>
    </row>
    <row r="282" spans="1:45" ht="15.75" customHeight="1">
      <c r="A282" s="196"/>
      <c r="B282" s="196"/>
      <c r="C282" s="88"/>
      <c r="D282" s="88"/>
      <c r="E282" s="88"/>
      <c r="F282" s="196"/>
      <c r="G282" s="196"/>
      <c r="H282" s="196"/>
      <c r="I282" s="196"/>
      <c r="J282" s="196"/>
      <c r="K282" s="196"/>
      <c r="L282" s="196"/>
      <c r="M282" s="196"/>
      <c r="N282" s="196"/>
      <c r="O282" s="196"/>
      <c r="P282" s="196"/>
      <c r="Q282" s="196"/>
      <c r="R282" s="196"/>
      <c r="S282" s="196"/>
      <c r="T282" s="196"/>
      <c r="U282" s="196"/>
      <c r="V282" s="196"/>
      <c r="W282" s="196"/>
      <c r="X282" s="196"/>
      <c r="Y282" s="196"/>
      <c r="Z282" s="196"/>
      <c r="AA282" s="196"/>
      <c r="AB282" s="196"/>
      <c r="AC282" s="196"/>
      <c r="AD282" s="196"/>
      <c r="AE282" s="196"/>
      <c r="AF282" s="196"/>
      <c r="AG282" s="196"/>
      <c r="AH282" s="196"/>
      <c r="AI282" s="196"/>
      <c r="AJ282" s="196"/>
      <c r="AK282" s="196"/>
      <c r="AL282" s="196"/>
      <c r="AM282" s="196"/>
      <c r="AN282" s="196"/>
      <c r="AO282" s="196"/>
      <c r="AP282" s="196"/>
      <c r="AQ282" s="196"/>
      <c r="AR282" s="196"/>
      <c r="AS282" s="196"/>
    </row>
    <row r="283" spans="1:45" ht="15.75" customHeight="1">
      <c r="A283" s="196"/>
      <c r="B283" s="196"/>
      <c r="C283" s="88"/>
      <c r="D283" s="88"/>
      <c r="E283" s="88"/>
      <c r="F283" s="196"/>
      <c r="G283" s="196"/>
      <c r="H283" s="196"/>
      <c r="I283" s="196"/>
      <c r="J283" s="196"/>
      <c r="K283" s="196"/>
      <c r="L283" s="196"/>
      <c r="M283" s="196"/>
      <c r="N283" s="196"/>
      <c r="O283" s="196"/>
      <c r="P283" s="196"/>
      <c r="Q283" s="196"/>
      <c r="R283" s="196"/>
      <c r="S283" s="196"/>
      <c r="T283" s="196"/>
      <c r="U283" s="196"/>
      <c r="V283" s="196"/>
      <c r="W283" s="196"/>
      <c r="X283" s="196"/>
      <c r="Y283" s="196"/>
      <c r="Z283" s="196"/>
      <c r="AA283" s="196"/>
      <c r="AB283" s="196"/>
      <c r="AC283" s="196"/>
      <c r="AD283" s="196"/>
      <c r="AE283" s="196"/>
      <c r="AF283" s="196"/>
      <c r="AG283" s="196"/>
      <c r="AH283" s="196"/>
      <c r="AI283" s="196"/>
      <c r="AJ283" s="196"/>
      <c r="AK283" s="196"/>
      <c r="AL283" s="196"/>
      <c r="AM283" s="196"/>
      <c r="AN283" s="196"/>
      <c r="AO283" s="196"/>
      <c r="AP283" s="196"/>
      <c r="AQ283" s="196"/>
      <c r="AR283" s="196"/>
      <c r="AS283" s="196"/>
    </row>
    <row r="284" spans="1:45" ht="15.75" customHeight="1">
      <c r="A284" s="196"/>
      <c r="B284" s="196"/>
      <c r="C284" s="88"/>
      <c r="D284" s="88"/>
      <c r="E284" s="88"/>
      <c r="F284" s="196"/>
      <c r="G284" s="196"/>
      <c r="H284" s="196"/>
      <c r="I284" s="196"/>
      <c r="J284" s="196"/>
      <c r="K284" s="196"/>
      <c r="L284" s="196"/>
      <c r="M284" s="196"/>
      <c r="N284" s="196"/>
      <c r="O284" s="196"/>
      <c r="P284" s="196"/>
      <c r="Q284" s="196"/>
      <c r="R284" s="196"/>
      <c r="S284" s="196"/>
      <c r="T284" s="196"/>
      <c r="U284" s="196"/>
      <c r="V284" s="196"/>
      <c r="W284" s="196"/>
      <c r="X284" s="196"/>
      <c r="Y284" s="196"/>
      <c r="Z284" s="196"/>
      <c r="AA284" s="196"/>
      <c r="AB284" s="196"/>
      <c r="AC284" s="196"/>
      <c r="AD284" s="196"/>
      <c r="AE284" s="196"/>
      <c r="AF284" s="196"/>
      <c r="AG284" s="196"/>
      <c r="AH284" s="196"/>
      <c r="AI284" s="196"/>
      <c r="AJ284" s="196"/>
      <c r="AK284" s="196"/>
      <c r="AL284" s="196"/>
      <c r="AM284" s="196"/>
      <c r="AN284" s="196"/>
      <c r="AO284" s="196"/>
      <c r="AP284" s="196"/>
      <c r="AQ284" s="196"/>
      <c r="AR284" s="196"/>
      <c r="AS284" s="196"/>
    </row>
    <row r="285" spans="1:45" ht="15.75" customHeight="1">
      <c r="A285" s="196"/>
      <c r="B285" s="196"/>
      <c r="C285" s="88"/>
      <c r="D285" s="88"/>
      <c r="E285" s="88"/>
      <c r="F285" s="196"/>
      <c r="G285" s="196"/>
      <c r="H285" s="196"/>
      <c r="I285" s="196"/>
      <c r="J285" s="196"/>
      <c r="K285" s="196"/>
      <c r="L285" s="196"/>
      <c r="M285" s="196"/>
      <c r="N285" s="196"/>
      <c r="O285" s="196"/>
      <c r="P285" s="196"/>
      <c r="Q285" s="196"/>
      <c r="R285" s="196"/>
      <c r="S285" s="196"/>
      <c r="T285" s="196"/>
      <c r="U285" s="196"/>
      <c r="V285" s="196"/>
      <c r="W285" s="196"/>
      <c r="X285" s="196"/>
      <c r="Y285" s="196"/>
      <c r="Z285" s="196"/>
      <c r="AA285" s="196"/>
      <c r="AB285" s="196"/>
      <c r="AC285" s="196"/>
      <c r="AD285" s="196"/>
      <c r="AE285" s="196"/>
      <c r="AF285" s="196"/>
      <c r="AG285" s="196"/>
      <c r="AH285" s="196"/>
      <c r="AI285" s="196"/>
      <c r="AJ285" s="196"/>
      <c r="AK285" s="196"/>
      <c r="AL285" s="196"/>
      <c r="AM285" s="196"/>
      <c r="AN285" s="196"/>
      <c r="AO285" s="196"/>
      <c r="AP285" s="196"/>
      <c r="AQ285" s="196"/>
      <c r="AR285" s="196"/>
      <c r="AS285" s="196"/>
    </row>
    <row r="286" spans="1:45" ht="15.75" customHeight="1">
      <c r="A286" s="196"/>
      <c r="B286" s="196"/>
      <c r="C286" s="88"/>
      <c r="D286" s="88"/>
      <c r="E286" s="88"/>
      <c r="F286" s="196"/>
      <c r="G286" s="196"/>
      <c r="H286" s="196"/>
      <c r="I286" s="196"/>
      <c r="J286" s="196"/>
      <c r="K286" s="196"/>
      <c r="L286" s="196"/>
      <c r="M286" s="196"/>
      <c r="N286" s="196"/>
      <c r="O286" s="196"/>
      <c r="P286" s="196"/>
      <c r="Q286" s="196"/>
      <c r="R286" s="196"/>
      <c r="S286" s="196"/>
      <c r="T286" s="196"/>
      <c r="U286" s="196"/>
      <c r="V286" s="196"/>
      <c r="W286" s="196"/>
      <c r="X286" s="196"/>
      <c r="Y286" s="196"/>
      <c r="Z286" s="196"/>
      <c r="AA286" s="196"/>
      <c r="AB286" s="196"/>
      <c r="AC286" s="196"/>
      <c r="AD286" s="196"/>
      <c r="AE286" s="196"/>
      <c r="AF286" s="196"/>
      <c r="AG286" s="196"/>
      <c r="AH286" s="196"/>
      <c r="AI286" s="196"/>
      <c r="AJ286" s="196"/>
      <c r="AK286" s="196"/>
      <c r="AL286" s="196"/>
      <c r="AM286" s="196"/>
      <c r="AN286" s="196"/>
      <c r="AO286" s="196"/>
      <c r="AP286" s="196"/>
      <c r="AQ286" s="196"/>
      <c r="AR286" s="196"/>
      <c r="AS286" s="196"/>
    </row>
    <row r="287" spans="1:45" ht="15.75" customHeight="1">
      <c r="A287" s="196"/>
      <c r="B287" s="196"/>
      <c r="C287" s="88"/>
      <c r="D287" s="88"/>
      <c r="E287" s="88"/>
      <c r="F287" s="196"/>
      <c r="G287" s="196"/>
      <c r="H287" s="196"/>
      <c r="I287" s="196"/>
      <c r="J287" s="196"/>
      <c r="K287" s="196"/>
      <c r="L287" s="196"/>
      <c r="M287" s="196"/>
      <c r="N287" s="196"/>
      <c r="O287" s="196"/>
      <c r="P287" s="196"/>
      <c r="Q287" s="196"/>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row>
    <row r="288" spans="1:45" ht="15.75" customHeight="1">
      <c r="A288" s="196"/>
      <c r="B288" s="196"/>
      <c r="C288" s="88"/>
      <c r="D288" s="88"/>
      <c r="E288" s="88"/>
      <c r="F288" s="196"/>
      <c r="G288" s="196"/>
      <c r="H288" s="196"/>
      <c r="I288" s="196"/>
      <c r="J288" s="196"/>
      <c r="K288" s="196"/>
      <c r="L288" s="196"/>
      <c r="M288" s="196"/>
      <c r="N288" s="196"/>
      <c r="O288" s="196"/>
      <c r="P288" s="196"/>
      <c r="Q288" s="196"/>
      <c r="R288" s="196"/>
      <c r="S288" s="196"/>
      <c r="T288" s="196"/>
      <c r="U288" s="196"/>
      <c r="V288" s="196"/>
      <c r="W288" s="196"/>
      <c r="X288" s="196"/>
      <c r="Y288" s="196"/>
      <c r="Z288" s="196"/>
      <c r="AA288" s="196"/>
      <c r="AB288" s="196"/>
      <c r="AC288" s="196"/>
      <c r="AD288" s="196"/>
      <c r="AE288" s="196"/>
      <c r="AF288" s="196"/>
      <c r="AG288" s="196"/>
      <c r="AH288" s="196"/>
      <c r="AI288" s="196"/>
      <c r="AJ288" s="196"/>
      <c r="AK288" s="196"/>
      <c r="AL288" s="196"/>
      <c r="AM288" s="196"/>
      <c r="AN288" s="196"/>
      <c r="AO288" s="196"/>
      <c r="AP288" s="196"/>
      <c r="AQ288" s="196"/>
      <c r="AR288" s="196"/>
      <c r="AS288" s="196"/>
    </row>
    <row r="289" spans="1:45" ht="15.75" customHeight="1">
      <c r="A289" s="196"/>
      <c r="B289" s="196"/>
      <c r="C289" s="88"/>
      <c r="D289" s="88"/>
      <c r="E289" s="88"/>
      <c r="F289" s="196"/>
      <c r="G289" s="196"/>
      <c r="H289" s="196"/>
      <c r="I289" s="196"/>
      <c r="J289" s="196"/>
      <c r="K289" s="196"/>
      <c r="L289" s="196"/>
      <c r="M289" s="196"/>
      <c r="N289" s="196"/>
      <c r="O289" s="196"/>
      <c r="P289" s="196"/>
      <c r="Q289" s="196"/>
      <c r="R289" s="196"/>
      <c r="S289" s="196"/>
      <c r="T289" s="196"/>
      <c r="U289" s="196"/>
      <c r="V289" s="196"/>
      <c r="W289" s="196"/>
      <c r="X289" s="196"/>
      <c r="Y289" s="196"/>
      <c r="Z289" s="196"/>
      <c r="AA289" s="196"/>
      <c r="AB289" s="196"/>
      <c r="AC289" s="196"/>
      <c r="AD289" s="196"/>
      <c r="AE289" s="196"/>
      <c r="AF289" s="196"/>
      <c r="AG289" s="196"/>
      <c r="AH289" s="196"/>
      <c r="AI289" s="196"/>
      <c r="AJ289" s="196"/>
      <c r="AK289" s="196"/>
      <c r="AL289" s="196"/>
      <c r="AM289" s="196"/>
      <c r="AN289" s="196"/>
      <c r="AO289" s="196"/>
      <c r="AP289" s="196"/>
      <c r="AQ289" s="196"/>
      <c r="AR289" s="196"/>
      <c r="AS289" s="196"/>
    </row>
    <row r="290" spans="1:45" ht="15.75" customHeight="1">
      <c r="A290" s="196"/>
      <c r="B290" s="196"/>
      <c r="C290" s="88"/>
      <c r="D290" s="88"/>
      <c r="E290" s="88"/>
      <c r="F290" s="196"/>
      <c r="G290" s="196"/>
      <c r="H290" s="196"/>
      <c r="I290" s="196"/>
      <c r="J290" s="196"/>
      <c r="K290" s="196"/>
      <c r="L290" s="196"/>
      <c r="M290" s="196"/>
      <c r="N290" s="196"/>
      <c r="O290" s="196"/>
      <c r="P290" s="196"/>
      <c r="Q290" s="196"/>
      <c r="R290" s="196"/>
      <c r="S290" s="196"/>
      <c r="T290" s="196"/>
      <c r="U290" s="196"/>
      <c r="V290" s="196"/>
      <c r="W290" s="196"/>
      <c r="X290" s="196"/>
      <c r="Y290" s="196"/>
      <c r="Z290" s="196"/>
      <c r="AA290" s="196"/>
      <c r="AB290" s="196"/>
      <c r="AC290" s="196"/>
      <c r="AD290" s="196"/>
      <c r="AE290" s="196"/>
      <c r="AF290" s="196"/>
      <c r="AG290" s="196"/>
      <c r="AH290" s="196"/>
      <c r="AI290" s="196"/>
      <c r="AJ290" s="196"/>
      <c r="AK290" s="196"/>
      <c r="AL290" s="196"/>
      <c r="AM290" s="196"/>
      <c r="AN290" s="196"/>
      <c r="AO290" s="196"/>
      <c r="AP290" s="196"/>
      <c r="AQ290" s="196"/>
      <c r="AR290" s="196"/>
      <c r="AS290" s="196"/>
    </row>
    <row r="291" spans="1:45" ht="15.75" customHeight="1">
      <c r="A291" s="196"/>
      <c r="B291" s="196"/>
      <c r="C291" s="88"/>
      <c r="D291" s="88"/>
      <c r="E291" s="88"/>
      <c r="F291" s="196"/>
      <c r="G291" s="196"/>
      <c r="H291" s="196"/>
      <c r="I291" s="196"/>
      <c r="J291" s="196"/>
      <c r="K291" s="196"/>
      <c r="L291" s="196"/>
      <c r="M291" s="196"/>
      <c r="N291" s="196"/>
      <c r="O291" s="196"/>
      <c r="P291" s="196"/>
      <c r="Q291" s="196"/>
      <c r="R291" s="196"/>
      <c r="S291" s="196"/>
      <c r="T291" s="196"/>
      <c r="U291" s="196"/>
      <c r="V291" s="196"/>
      <c r="W291" s="196"/>
      <c r="X291" s="196"/>
      <c r="Y291" s="196"/>
      <c r="Z291" s="196"/>
      <c r="AA291" s="196"/>
      <c r="AB291" s="196"/>
      <c r="AC291" s="196"/>
      <c r="AD291" s="196"/>
      <c r="AE291" s="196"/>
      <c r="AF291" s="196"/>
      <c r="AG291" s="196"/>
      <c r="AH291" s="196"/>
      <c r="AI291" s="196"/>
      <c r="AJ291" s="196"/>
      <c r="AK291" s="196"/>
      <c r="AL291" s="196"/>
      <c r="AM291" s="196"/>
      <c r="AN291" s="196"/>
      <c r="AO291" s="196"/>
      <c r="AP291" s="196"/>
      <c r="AQ291" s="196"/>
      <c r="AR291" s="196"/>
      <c r="AS291" s="196"/>
    </row>
    <row r="292" spans="1:45" ht="15.75" customHeight="1">
      <c r="A292" s="196"/>
      <c r="B292" s="196"/>
      <c r="C292" s="88"/>
      <c r="D292" s="88"/>
      <c r="E292" s="88"/>
      <c r="F292" s="196"/>
      <c r="G292" s="196"/>
      <c r="H292" s="196"/>
      <c r="I292" s="196"/>
      <c r="J292" s="196"/>
      <c r="K292" s="196"/>
      <c r="L292" s="196"/>
      <c r="M292" s="196"/>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row>
    <row r="293" spans="1:45" ht="15.75" customHeight="1">
      <c r="A293" s="196"/>
      <c r="B293" s="196"/>
      <c r="C293" s="88"/>
      <c r="D293" s="88"/>
      <c r="E293" s="88"/>
      <c r="F293" s="196"/>
      <c r="G293" s="196"/>
      <c r="H293" s="196"/>
      <c r="I293" s="196"/>
      <c r="J293" s="196"/>
      <c r="K293" s="196"/>
      <c r="L293" s="196"/>
      <c r="M293" s="196"/>
      <c r="N293" s="196"/>
      <c r="O293" s="196"/>
      <c r="P293" s="196"/>
      <c r="Q293" s="196"/>
      <c r="R293" s="196"/>
      <c r="S293" s="196"/>
      <c r="T293" s="196"/>
      <c r="U293" s="196"/>
      <c r="V293" s="196"/>
      <c r="W293" s="196"/>
      <c r="X293" s="196"/>
      <c r="Y293" s="196"/>
      <c r="Z293" s="196"/>
      <c r="AA293" s="196"/>
      <c r="AB293" s="196"/>
      <c r="AC293" s="196"/>
      <c r="AD293" s="196"/>
      <c r="AE293" s="196"/>
      <c r="AF293" s="196"/>
      <c r="AG293" s="196"/>
      <c r="AH293" s="196"/>
      <c r="AI293" s="196"/>
      <c r="AJ293" s="196"/>
      <c r="AK293" s="196"/>
      <c r="AL293" s="196"/>
      <c r="AM293" s="196"/>
      <c r="AN293" s="196"/>
      <c r="AO293" s="196"/>
      <c r="AP293" s="196"/>
      <c r="AQ293" s="196"/>
      <c r="AR293" s="196"/>
      <c r="AS293" s="196"/>
    </row>
    <row r="294" spans="1:45" ht="15.75" customHeight="1">
      <c r="A294" s="196"/>
      <c r="B294" s="196"/>
      <c r="C294" s="88"/>
      <c r="D294" s="88"/>
      <c r="E294" s="88"/>
      <c r="F294" s="196"/>
      <c r="G294" s="196"/>
      <c r="H294" s="196"/>
      <c r="I294" s="196"/>
      <c r="J294" s="196"/>
      <c r="K294" s="196"/>
      <c r="L294" s="196"/>
      <c r="M294" s="196"/>
      <c r="N294" s="196"/>
      <c r="O294" s="196"/>
      <c r="P294" s="196"/>
      <c r="Q294" s="196"/>
      <c r="R294" s="196"/>
      <c r="S294" s="196"/>
      <c r="T294" s="196"/>
      <c r="U294" s="196"/>
      <c r="V294" s="196"/>
      <c r="W294" s="196"/>
      <c r="X294" s="196"/>
      <c r="Y294" s="196"/>
      <c r="Z294" s="196"/>
      <c r="AA294" s="196"/>
      <c r="AB294" s="196"/>
      <c r="AC294" s="196"/>
      <c r="AD294" s="196"/>
      <c r="AE294" s="196"/>
      <c r="AF294" s="196"/>
      <c r="AG294" s="196"/>
      <c r="AH294" s="196"/>
      <c r="AI294" s="196"/>
      <c r="AJ294" s="196"/>
      <c r="AK294" s="196"/>
      <c r="AL294" s="196"/>
      <c r="AM294" s="196"/>
      <c r="AN294" s="196"/>
      <c r="AO294" s="196"/>
      <c r="AP294" s="196"/>
      <c r="AQ294" s="196"/>
      <c r="AR294" s="196"/>
      <c r="AS294" s="196"/>
    </row>
    <row r="295" spans="1:45" ht="15.75" customHeight="1">
      <c r="A295" s="196"/>
      <c r="B295" s="196"/>
      <c r="C295" s="88"/>
      <c r="D295" s="88"/>
      <c r="E295" s="88"/>
      <c r="F295" s="196"/>
      <c r="G295" s="196"/>
      <c r="H295" s="196"/>
      <c r="I295" s="196"/>
      <c r="J295" s="196"/>
      <c r="K295" s="196"/>
      <c r="L295" s="196"/>
      <c r="M295" s="196"/>
      <c r="N295" s="196"/>
      <c r="O295" s="196"/>
      <c r="P295" s="196"/>
      <c r="Q295" s="196"/>
      <c r="R295" s="196"/>
      <c r="S295" s="196"/>
      <c r="T295" s="196"/>
      <c r="U295" s="196"/>
      <c r="V295" s="196"/>
      <c r="W295" s="196"/>
      <c r="X295" s="196"/>
      <c r="Y295" s="196"/>
      <c r="Z295" s="196"/>
      <c r="AA295" s="196"/>
      <c r="AB295" s="196"/>
      <c r="AC295" s="196"/>
      <c r="AD295" s="196"/>
      <c r="AE295" s="196"/>
      <c r="AF295" s="196"/>
      <c r="AG295" s="196"/>
      <c r="AH295" s="196"/>
      <c r="AI295" s="196"/>
      <c r="AJ295" s="196"/>
      <c r="AK295" s="196"/>
      <c r="AL295" s="196"/>
      <c r="AM295" s="196"/>
      <c r="AN295" s="196"/>
      <c r="AO295" s="196"/>
      <c r="AP295" s="196"/>
      <c r="AQ295" s="196"/>
      <c r="AR295" s="196"/>
      <c r="AS295" s="196"/>
    </row>
    <row r="296" spans="1:45" ht="15.75" customHeight="1">
      <c r="A296" s="196"/>
      <c r="B296" s="196"/>
      <c r="C296" s="88"/>
      <c r="D296" s="88"/>
      <c r="E296" s="88"/>
      <c r="F296" s="196"/>
      <c r="G296" s="196"/>
      <c r="H296" s="196"/>
      <c r="I296" s="196"/>
      <c r="J296" s="196"/>
      <c r="K296" s="196"/>
      <c r="L296" s="196"/>
      <c r="M296" s="196"/>
      <c r="N296" s="196"/>
      <c r="O296" s="196"/>
      <c r="P296" s="196"/>
      <c r="Q296" s="196"/>
      <c r="R296" s="196"/>
      <c r="S296" s="196"/>
      <c r="T296" s="196"/>
      <c r="U296" s="196"/>
      <c r="V296" s="196"/>
      <c r="W296" s="196"/>
      <c r="X296" s="196"/>
      <c r="Y296" s="196"/>
      <c r="Z296" s="196"/>
      <c r="AA296" s="196"/>
      <c r="AB296" s="196"/>
      <c r="AC296" s="196"/>
      <c r="AD296" s="196"/>
      <c r="AE296" s="196"/>
      <c r="AF296" s="196"/>
      <c r="AG296" s="196"/>
      <c r="AH296" s="196"/>
      <c r="AI296" s="196"/>
      <c r="AJ296" s="196"/>
      <c r="AK296" s="196"/>
      <c r="AL296" s="196"/>
      <c r="AM296" s="196"/>
      <c r="AN296" s="196"/>
      <c r="AO296" s="196"/>
      <c r="AP296" s="196"/>
      <c r="AQ296" s="196"/>
      <c r="AR296" s="196"/>
      <c r="AS296" s="196"/>
    </row>
    <row r="297" spans="1:45" ht="15.75" customHeight="1">
      <c r="A297" s="196"/>
      <c r="B297" s="196"/>
      <c r="C297" s="88"/>
      <c r="D297" s="88"/>
      <c r="E297" s="88"/>
      <c r="F297" s="196"/>
      <c r="G297" s="196"/>
      <c r="H297" s="196"/>
      <c r="I297" s="196"/>
      <c r="J297" s="196"/>
      <c r="K297" s="196"/>
      <c r="L297" s="196"/>
      <c r="M297" s="196"/>
      <c r="N297" s="196"/>
      <c r="O297" s="196"/>
      <c r="P297" s="196"/>
      <c r="Q297" s="196"/>
      <c r="R297" s="196"/>
      <c r="S297" s="196"/>
      <c r="T297" s="196"/>
      <c r="U297" s="196"/>
      <c r="V297" s="196"/>
      <c r="W297" s="196"/>
      <c r="X297" s="196"/>
      <c r="Y297" s="196"/>
      <c r="Z297" s="196"/>
      <c r="AA297" s="196"/>
      <c r="AB297" s="196"/>
      <c r="AC297" s="196"/>
      <c r="AD297" s="196"/>
      <c r="AE297" s="196"/>
      <c r="AF297" s="196"/>
      <c r="AG297" s="196"/>
      <c r="AH297" s="196"/>
      <c r="AI297" s="196"/>
      <c r="AJ297" s="196"/>
      <c r="AK297" s="196"/>
      <c r="AL297" s="196"/>
      <c r="AM297" s="196"/>
      <c r="AN297" s="196"/>
      <c r="AO297" s="196"/>
      <c r="AP297" s="196"/>
      <c r="AQ297" s="196"/>
      <c r="AR297" s="196"/>
      <c r="AS297" s="196"/>
    </row>
    <row r="298" spans="1:45" ht="15.75" customHeight="1">
      <c r="A298" s="196"/>
      <c r="B298" s="196"/>
      <c r="C298" s="88"/>
      <c r="D298" s="88"/>
      <c r="E298" s="88"/>
      <c r="F298" s="196"/>
      <c r="G298" s="196"/>
      <c r="H298" s="196"/>
      <c r="I298" s="196"/>
      <c r="J298" s="196"/>
      <c r="K298" s="196"/>
      <c r="L298" s="196"/>
      <c r="M298" s="196"/>
      <c r="N298" s="196"/>
      <c r="O298" s="196"/>
      <c r="P298" s="196"/>
      <c r="Q298" s="196"/>
      <c r="R298" s="196"/>
      <c r="S298" s="196"/>
      <c r="T298" s="196"/>
      <c r="U298" s="196"/>
      <c r="V298" s="196"/>
      <c r="W298" s="196"/>
      <c r="X298" s="196"/>
      <c r="Y298" s="196"/>
      <c r="Z298" s="196"/>
      <c r="AA298" s="196"/>
      <c r="AB298" s="196"/>
      <c r="AC298" s="196"/>
      <c r="AD298" s="196"/>
      <c r="AE298" s="196"/>
      <c r="AF298" s="196"/>
      <c r="AG298" s="196"/>
      <c r="AH298" s="196"/>
      <c r="AI298" s="196"/>
      <c r="AJ298" s="196"/>
      <c r="AK298" s="196"/>
      <c r="AL298" s="196"/>
      <c r="AM298" s="196"/>
      <c r="AN298" s="196"/>
      <c r="AO298" s="196"/>
      <c r="AP298" s="196"/>
      <c r="AQ298" s="196"/>
      <c r="AR298" s="196"/>
      <c r="AS298" s="196"/>
    </row>
    <row r="299" spans="1:45" ht="15.75" customHeight="1">
      <c r="A299" s="196"/>
      <c r="B299" s="196"/>
      <c r="C299" s="88"/>
      <c r="D299" s="88"/>
      <c r="E299" s="88"/>
      <c r="F299" s="196"/>
      <c r="G299" s="196"/>
      <c r="H299" s="196"/>
      <c r="I299" s="196"/>
      <c r="J299" s="196"/>
      <c r="K299" s="196"/>
      <c r="L299" s="196"/>
      <c r="M299" s="196"/>
      <c r="N299" s="196"/>
      <c r="O299" s="196"/>
      <c r="P299" s="196"/>
      <c r="Q299" s="196"/>
      <c r="R299" s="196"/>
      <c r="S299" s="196"/>
      <c r="T299" s="196"/>
      <c r="U299" s="196"/>
      <c r="V299" s="196"/>
      <c r="W299" s="196"/>
      <c r="X299" s="196"/>
      <c r="Y299" s="196"/>
      <c r="Z299" s="196"/>
      <c r="AA299" s="196"/>
      <c r="AB299" s="196"/>
      <c r="AC299" s="196"/>
      <c r="AD299" s="196"/>
      <c r="AE299" s="196"/>
      <c r="AF299" s="196"/>
      <c r="AG299" s="196"/>
      <c r="AH299" s="196"/>
      <c r="AI299" s="196"/>
      <c r="AJ299" s="196"/>
      <c r="AK299" s="196"/>
      <c r="AL299" s="196"/>
      <c r="AM299" s="196"/>
      <c r="AN299" s="196"/>
      <c r="AO299" s="196"/>
      <c r="AP299" s="196"/>
      <c r="AQ299" s="196"/>
      <c r="AR299" s="196"/>
      <c r="AS299" s="196"/>
    </row>
    <row r="300" spans="1:45" ht="15.75" customHeight="1">
      <c r="A300" s="196"/>
      <c r="B300" s="196"/>
      <c r="C300" s="88"/>
      <c r="D300" s="88"/>
      <c r="E300" s="88"/>
      <c r="F300" s="196"/>
      <c r="G300" s="196"/>
      <c r="H300" s="196"/>
      <c r="I300" s="196"/>
      <c r="J300" s="196"/>
      <c r="K300" s="196"/>
      <c r="L300" s="196"/>
      <c r="M300" s="196"/>
      <c r="N300" s="196"/>
      <c r="O300" s="196"/>
      <c r="P300" s="196"/>
      <c r="Q300" s="196"/>
      <c r="R300" s="196"/>
      <c r="S300" s="196"/>
      <c r="T300" s="196"/>
      <c r="U300" s="196"/>
      <c r="V300" s="196"/>
      <c r="W300" s="196"/>
      <c r="X300" s="196"/>
      <c r="Y300" s="196"/>
      <c r="Z300" s="196"/>
      <c r="AA300" s="196"/>
      <c r="AB300" s="196"/>
      <c r="AC300" s="196"/>
      <c r="AD300" s="196"/>
      <c r="AE300" s="196"/>
      <c r="AF300" s="196"/>
      <c r="AG300" s="196"/>
      <c r="AH300" s="196"/>
      <c r="AI300" s="196"/>
      <c r="AJ300" s="196"/>
      <c r="AK300" s="196"/>
      <c r="AL300" s="196"/>
      <c r="AM300" s="196"/>
      <c r="AN300" s="196"/>
      <c r="AO300" s="196"/>
      <c r="AP300" s="196"/>
      <c r="AQ300" s="196"/>
      <c r="AR300" s="196"/>
      <c r="AS300" s="196"/>
    </row>
    <row r="301" spans="1:45" ht="15.75" customHeight="1">
      <c r="A301" s="196"/>
      <c r="B301" s="196"/>
      <c r="C301" s="88"/>
      <c r="D301" s="88"/>
      <c r="E301" s="88"/>
      <c r="F301" s="196"/>
      <c r="G301" s="196"/>
      <c r="H301" s="196"/>
      <c r="I301" s="196"/>
      <c r="J301" s="196"/>
      <c r="K301" s="196"/>
      <c r="L301" s="196"/>
      <c r="M301" s="196"/>
      <c r="N301" s="196"/>
      <c r="O301" s="196"/>
      <c r="P301" s="196"/>
      <c r="Q301" s="196"/>
      <c r="R301" s="196"/>
      <c r="S301" s="196"/>
      <c r="T301" s="196"/>
      <c r="U301" s="196"/>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c r="AQ301" s="196"/>
      <c r="AR301" s="196"/>
      <c r="AS301" s="196"/>
    </row>
    <row r="302" spans="1:45" ht="15.75" customHeight="1">
      <c r="A302" s="196"/>
      <c r="B302" s="196"/>
      <c r="C302" s="88"/>
      <c r="D302" s="88"/>
      <c r="E302" s="88"/>
      <c r="F302" s="196"/>
      <c r="G302" s="196"/>
      <c r="H302" s="196"/>
      <c r="I302" s="196"/>
      <c r="J302" s="196"/>
      <c r="K302" s="196"/>
      <c r="L302" s="196"/>
      <c r="M302" s="196"/>
      <c r="N302" s="196"/>
      <c r="O302" s="196"/>
      <c r="P302" s="196"/>
      <c r="Q302" s="196"/>
      <c r="R302" s="196"/>
      <c r="S302" s="196"/>
      <c r="T302" s="196"/>
      <c r="U302" s="196"/>
      <c r="V302" s="196"/>
      <c r="W302" s="196"/>
      <c r="X302" s="196"/>
      <c r="Y302" s="196"/>
      <c r="Z302" s="196"/>
      <c r="AA302" s="196"/>
      <c r="AB302" s="196"/>
      <c r="AC302" s="196"/>
      <c r="AD302" s="196"/>
      <c r="AE302" s="196"/>
      <c r="AF302" s="196"/>
      <c r="AG302" s="196"/>
      <c r="AH302" s="196"/>
      <c r="AI302" s="196"/>
      <c r="AJ302" s="196"/>
      <c r="AK302" s="196"/>
      <c r="AL302" s="196"/>
      <c r="AM302" s="196"/>
      <c r="AN302" s="196"/>
      <c r="AO302" s="196"/>
      <c r="AP302" s="196"/>
      <c r="AQ302" s="196"/>
      <c r="AR302" s="196"/>
      <c r="AS302" s="196"/>
    </row>
    <row r="303" spans="1:45" ht="15.75" customHeight="1">
      <c r="A303" s="196"/>
      <c r="B303" s="196"/>
      <c r="C303" s="88"/>
      <c r="D303" s="88"/>
      <c r="E303" s="88"/>
      <c r="F303" s="196"/>
      <c r="G303" s="196"/>
      <c r="H303" s="196"/>
      <c r="I303" s="196"/>
      <c r="J303" s="196"/>
      <c r="K303" s="196"/>
      <c r="L303" s="196"/>
      <c r="M303" s="196"/>
      <c r="N303" s="196"/>
      <c r="O303" s="196"/>
      <c r="P303" s="196"/>
      <c r="Q303" s="196"/>
      <c r="R303" s="196"/>
      <c r="S303" s="196"/>
      <c r="T303" s="196"/>
      <c r="U303" s="196"/>
      <c r="V303" s="196"/>
      <c r="W303" s="196"/>
      <c r="X303" s="196"/>
      <c r="Y303" s="196"/>
      <c r="Z303" s="196"/>
      <c r="AA303" s="196"/>
      <c r="AB303" s="196"/>
      <c r="AC303" s="196"/>
      <c r="AD303" s="196"/>
      <c r="AE303" s="196"/>
      <c r="AF303" s="196"/>
      <c r="AG303" s="196"/>
      <c r="AH303" s="196"/>
      <c r="AI303" s="196"/>
      <c r="AJ303" s="196"/>
      <c r="AK303" s="196"/>
      <c r="AL303" s="196"/>
      <c r="AM303" s="196"/>
      <c r="AN303" s="196"/>
      <c r="AO303" s="196"/>
      <c r="AP303" s="196"/>
      <c r="AQ303" s="196"/>
      <c r="AR303" s="196"/>
      <c r="AS303" s="196"/>
    </row>
    <row r="304" spans="1:45" ht="15.75" customHeight="1">
      <c r="A304" s="196"/>
      <c r="B304" s="196"/>
      <c r="C304" s="88"/>
      <c r="D304" s="88"/>
      <c r="E304" s="88"/>
      <c r="F304" s="196"/>
      <c r="G304" s="196"/>
      <c r="H304" s="196"/>
      <c r="I304" s="196"/>
      <c r="J304" s="196"/>
      <c r="K304" s="196"/>
      <c r="L304" s="196"/>
      <c r="M304" s="196"/>
      <c r="N304" s="196"/>
      <c r="O304" s="196"/>
      <c r="P304" s="196"/>
      <c r="Q304" s="196"/>
      <c r="R304" s="196"/>
      <c r="S304" s="196"/>
      <c r="T304" s="196"/>
      <c r="U304" s="196"/>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row>
    <row r="305" spans="1:45" ht="15.75" customHeight="1">
      <c r="A305" s="196"/>
      <c r="B305" s="196"/>
      <c r="C305" s="88"/>
      <c r="D305" s="88"/>
      <c r="E305" s="88"/>
      <c r="F305" s="196"/>
      <c r="G305" s="196"/>
      <c r="H305" s="196"/>
      <c r="I305" s="196"/>
      <c r="J305" s="196"/>
      <c r="K305" s="196"/>
      <c r="L305" s="196"/>
      <c r="M305" s="196"/>
      <c r="N305" s="196"/>
      <c r="O305" s="196"/>
      <c r="P305" s="196"/>
      <c r="Q305" s="196"/>
      <c r="R305" s="196"/>
      <c r="S305" s="196"/>
      <c r="T305" s="196"/>
      <c r="U305" s="196"/>
      <c r="V305" s="196"/>
      <c r="W305" s="196"/>
      <c r="X305" s="196"/>
      <c r="Y305" s="196"/>
      <c r="Z305" s="196"/>
      <c r="AA305" s="196"/>
      <c r="AB305" s="196"/>
      <c r="AC305" s="196"/>
      <c r="AD305" s="196"/>
      <c r="AE305" s="196"/>
      <c r="AF305" s="196"/>
      <c r="AG305" s="196"/>
      <c r="AH305" s="196"/>
      <c r="AI305" s="196"/>
      <c r="AJ305" s="196"/>
      <c r="AK305" s="196"/>
      <c r="AL305" s="196"/>
      <c r="AM305" s="196"/>
      <c r="AN305" s="196"/>
      <c r="AO305" s="196"/>
      <c r="AP305" s="196"/>
      <c r="AQ305" s="196"/>
      <c r="AR305" s="196"/>
      <c r="AS305" s="196"/>
    </row>
    <row r="306" spans="1:45" ht="15.75" customHeight="1">
      <c r="A306" s="196"/>
      <c r="B306" s="196"/>
      <c r="C306" s="88"/>
      <c r="D306" s="88"/>
      <c r="E306" s="88"/>
      <c r="F306" s="196"/>
      <c r="G306" s="196"/>
      <c r="H306" s="196"/>
      <c r="I306" s="196"/>
      <c r="J306" s="196"/>
      <c r="K306" s="196"/>
      <c r="L306" s="196"/>
      <c r="M306" s="196"/>
      <c r="N306" s="196"/>
      <c r="O306" s="196"/>
      <c r="P306" s="196"/>
      <c r="Q306" s="196"/>
      <c r="R306" s="196"/>
      <c r="S306" s="196"/>
      <c r="T306" s="196"/>
      <c r="U306" s="196"/>
      <c r="V306" s="196"/>
      <c r="W306" s="196"/>
      <c r="X306" s="196"/>
      <c r="Y306" s="196"/>
      <c r="Z306" s="196"/>
      <c r="AA306" s="196"/>
      <c r="AB306" s="196"/>
      <c r="AC306" s="196"/>
      <c r="AD306" s="196"/>
      <c r="AE306" s="196"/>
      <c r="AF306" s="196"/>
      <c r="AG306" s="196"/>
      <c r="AH306" s="196"/>
      <c r="AI306" s="196"/>
      <c r="AJ306" s="196"/>
      <c r="AK306" s="196"/>
      <c r="AL306" s="196"/>
      <c r="AM306" s="196"/>
      <c r="AN306" s="196"/>
      <c r="AO306" s="196"/>
      <c r="AP306" s="196"/>
      <c r="AQ306" s="196"/>
      <c r="AR306" s="196"/>
      <c r="AS306" s="196"/>
    </row>
    <row r="307" spans="1:45" ht="15.75" customHeight="1">
      <c r="A307" s="196"/>
      <c r="B307" s="196"/>
      <c r="C307" s="88"/>
      <c r="D307" s="88"/>
      <c r="E307" s="88"/>
      <c r="F307" s="196"/>
      <c r="G307" s="196"/>
      <c r="H307" s="196"/>
      <c r="I307" s="196"/>
      <c r="J307" s="196"/>
      <c r="K307" s="196"/>
      <c r="L307" s="196"/>
      <c r="M307" s="196"/>
      <c r="N307" s="196"/>
      <c r="O307" s="196"/>
      <c r="P307" s="196"/>
      <c r="Q307" s="196"/>
      <c r="R307" s="196"/>
      <c r="S307" s="196"/>
      <c r="T307" s="196"/>
      <c r="U307" s="196"/>
      <c r="V307" s="196"/>
      <c r="W307" s="196"/>
      <c r="X307" s="196"/>
      <c r="Y307" s="196"/>
      <c r="Z307" s="196"/>
      <c r="AA307" s="196"/>
      <c r="AB307" s="196"/>
      <c r="AC307" s="196"/>
      <c r="AD307" s="196"/>
      <c r="AE307" s="196"/>
      <c r="AF307" s="196"/>
      <c r="AG307" s="196"/>
      <c r="AH307" s="196"/>
      <c r="AI307" s="196"/>
      <c r="AJ307" s="196"/>
      <c r="AK307" s="196"/>
      <c r="AL307" s="196"/>
      <c r="AM307" s="196"/>
      <c r="AN307" s="196"/>
      <c r="AO307" s="196"/>
      <c r="AP307" s="196"/>
      <c r="AQ307" s="196"/>
      <c r="AR307" s="196"/>
      <c r="AS307" s="196"/>
    </row>
    <row r="308" spans="1:45" ht="15.75" customHeight="1">
      <c r="A308" s="196"/>
      <c r="B308" s="196"/>
      <c r="C308" s="88"/>
      <c r="D308" s="88"/>
      <c r="E308" s="88"/>
      <c r="F308" s="196"/>
      <c r="G308" s="196"/>
      <c r="H308" s="196"/>
      <c r="I308" s="196"/>
      <c r="J308" s="196"/>
      <c r="K308" s="196"/>
      <c r="L308" s="196"/>
      <c r="M308" s="196"/>
      <c r="N308" s="196"/>
      <c r="O308" s="196"/>
      <c r="P308" s="196"/>
      <c r="Q308" s="196"/>
      <c r="R308" s="196"/>
      <c r="S308" s="196"/>
      <c r="T308" s="196"/>
      <c r="U308" s="196"/>
      <c r="V308" s="196"/>
      <c r="W308" s="196"/>
      <c r="X308" s="196"/>
      <c r="Y308" s="196"/>
      <c r="Z308" s="196"/>
      <c r="AA308" s="196"/>
      <c r="AB308" s="196"/>
      <c r="AC308" s="196"/>
      <c r="AD308" s="196"/>
      <c r="AE308" s="196"/>
      <c r="AF308" s="196"/>
      <c r="AG308" s="196"/>
      <c r="AH308" s="196"/>
      <c r="AI308" s="196"/>
      <c r="AJ308" s="196"/>
      <c r="AK308" s="196"/>
      <c r="AL308" s="196"/>
      <c r="AM308" s="196"/>
      <c r="AN308" s="196"/>
      <c r="AO308" s="196"/>
      <c r="AP308" s="196"/>
      <c r="AQ308" s="196"/>
      <c r="AR308" s="196"/>
      <c r="AS308" s="196"/>
    </row>
    <row r="309" spans="1:45" ht="15.75" customHeight="1">
      <c r="A309" s="196"/>
      <c r="B309" s="196"/>
      <c r="C309" s="88"/>
      <c r="D309" s="88"/>
      <c r="E309" s="88"/>
      <c r="F309" s="196"/>
      <c r="G309" s="196"/>
      <c r="H309" s="196"/>
      <c r="I309" s="196"/>
      <c r="J309" s="196"/>
      <c r="K309" s="196"/>
      <c r="L309" s="196"/>
      <c r="M309" s="196"/>
      <c r="N309" s="196"/>
      <c r="O309" s="196"/>
      <c r="P309" s="196"/>
      <c r="Q309" s="196"/>
      <c r="R309" s="196"/>
      <c r="S309" s="196"/>
      <c r="T309" s="196"/>
      <c r="U309" s="196"/>
      <c r="V309" s="196"/>
      <c r="W309" s="196"/>
      <c r="X309" s="196"/>
      <c r="Y309" s="196"/>
      <c r="Z309" s="196"/>
      <c r="AA309" s="196"/>
      <c r="AB309" s="196"/>
      <c r="AC309" s="196"/>
      <c r="AD309" s="196"/>
      <c r="AE309" s="196"/>
      <c r="AF309" s="196"/>
      <c r="AG309" s="196"/>
      <c r="AH309" s="196"/>
      <c r="AI309" s="196"/>
      <c r="AJ309" s="196"/>
      <c r="AK309" s="196"/>
      <c r="AL309" s="196"/>
      <c r="AM309" s="196"/>
      <c r="AN309" s="196"/>
      <c r="AO309" s="196"/>
      <c r="AP309" s="196"/>
      <c r="AQ309" s="196"/>
      <c r="AR309" s="196"/>
      <c r="AS309" s="196"/>
    </row>
    <row r="310" spans="1:45" ht="15.75" customHeight="1">
      <c r="A310" s="196"/>
      <c r="B310" s="196"/>
      <c r="C310" s="88"/>
      <c r="D310" s="88"/>
      <c r="E310" s="88"/>
      <c r="F310" s="196"/>
      <c r="G310" s="196"/>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row>
    <row r="311" spans="1:45" ht="15.75" customHeight="1">
      <c r="A311" s="196"/>
      <c r="B311" s="196"/>
      <c r="C311" s="88"/>
      <c r="D311" s="88"/>
      <c r="E311" s="88"/>
      <c r="F311" s="196"/>
      <c r="G311" s="196"/>
      <c r="H311" s="196"/>
      <c r="I311" s="196"/>
      <c r="J311" s="196"/>
      <c r="K311" s="196"/>
      <c r="L311" s="196"/>
      <c r="M311" s="196"/>
      <c r="N311" s="196"/>
      <c r="O311" s="196"/>
      <c r="P311" s="196"/>
      <c r="Q311" s="196"/>
      <c r="R311" s="196"/>
      <c r="S311" s="196"/>
      <c r="T311" s="196"/>
      <c r="U311" s="196"/>
      <c r="V311" s="196"/>
      <c r="W311" s="196"/>
      <c r="X311" s="196"/>
      <c r="Y311" s="196"/>
      <c r="Z311" s="196"/>
      <c r="AA311" s="196"/>
      <c r="AB311" s="196"/>
      <c r="AC311" s="196"/>
      <c r="AD311" s="196"/>
      <c r="AE311" s="196"/>
      <c r="AF311" s="196"/>
      <c r="AG311" s="196"/>
      <c r="AH311" s="196"/>
      <c r="AI311" s="196"/>
      <c r="AJ311" s="196"/>
      <c r="AK311" s="196"/>
      <c r="AL311" s="196"/>
      <c r="AM311" s="196"/>
      <c r="AN311" s="196"/>
      <c r="AO311" s="196"/>
      <c r="AP311" s="196"/>
      <c r="AQ311" s="196"/>
      <c r="AR311" s="196"/>
      <c r="AS311" s="196"/>
    </row>
    <row r="312" spans="1:45" ht="15.75" customHeight="1">
      <c r="A312" s="196"/>
      <c r="B312" s="196"/>
      <c r="C312" s="88"/>
      <c r="D312" s="88"/>
      <c r="E312" s="88"/>
      <c r="F312" s="196"/>
      <c r="G312" s="196"/>
      <c r="H312" s="196"/>
      <c r="I312" s="196"/>
      <c r="J312" s="196"/>
      <c r="K312" s="196"/>
      <c r="L312" s="196"/>
      <c r="M312" s="196"/>
      <c r="N312" s="196"/>
      <c r="O312" s="196"/>
      <c r="P312" s="196"/>
      <c r="Q312" s="196"/>
      <c r="R312" s="196"/>
      <c r="S312" s="196"/>
      <c r="T312" s="196"/>
      <c r="U312" s="196"/>
      <c r="V312" s="196"/>
      <c r="W312" s="196"/>
      <c r="X312" s="196"/>
      <c r="Y312" s="196"/>
      <c r="Z312" s="196"/>
      <c r="AA312" s="196"/>
      <c r="AB312" s="196"/>
      <c r="AC312" s="196"/>
      <c r="AD312" s="196"/>
      <c r="AE312" s="196"/>
      <c r="AF312" s="196"/>
      <c r="AG312" s="196"/>
      <c r="AH312" s="196"/>
      <c r="AI312" s="196"/>
      <c r="AJ312" s="196"/>
      <c r="AK312" s="196"/>
      <c r="AL312" s="196"/>
      <c r="AM312" s="196"/>
      <c r="AN312" s="196"/>
      <c r="AO312" s="196"/>
      <c r="AP312" s="196"/>
      <c r="AQ312" s="196"/>
      <c r="AR312" s="196"/>
      <c r="AS312" s="196"/>
    </row>
    <row r="313" spans="1:45" ht="15.75" customHeight="1">
      <c r="A313" s="196"/>
      <c r="B313" s="196"/>
      <c r="C313" s="88"/>
      <c r="D313" s="88"/>
      <c r="E313" s="88"/>
      <c r="F313" s="196"/>
      <c r="G313" s="196"/>
      <c r="H313" s="196"/>
      <c r="I313" s="196"/>
      <c r="J313" s="196"/>
      <c r="K313" s="196"/>
      <c r="L313" s="196"/>
      <c r="M313" s="196"/>
      <c r="N313" s="196"/>
      <c r="O313" s="196"/>
      <c r="P313" s="196"/>
      <c r="Q313" s="196"/>
      <c r="R313" s="196"/>
      <c r="S313" s="196"/>
      <c r="T313" s="196"/>
      <c r="U313" s="196"/>
      <c r="V313" s="196"/>
      <c r="W313" s="196"/>
      <c r="X313" s="196"/>
      <c r="Y313" s="196"/>
      <c r="Z313" s="196"/>
      <c r="AA313" s="196"/>
      <c r="AB313" s="196"/>
      <c r="AC313" s="196"/>
      <c r="AD313" s="196"/>
      <c r="AE313" s="196"/>
      <c r="AF313" s="196"/>
      <c r="AG313" s="196"/>
      <c r="AH313" s="196"/>
      <c r="AI313" s="196"/>
      <c r="AJ313" s="196"/>
      <c r="AK313" s="196"/>
      <c r="AL313" s="196"/>
      <c r="AM313" s="196"/>
      <c r="AN313" s="196"/>
      <c r="AO313" s="196"/>
      <c r="AP313" s="196"/>
      <c r="AQ313" s="196"/>
      <c r="AR313" s="196"/>
      <c r="AS313" s="196"/>
    </row>
    <row r="314" spans="1:45" ht="15.75" customHeight="1">
      <c r="A314" s="196"/>
      <c r="B314" s="196"/>
      <c r="C314" s="88"/>
      <c r="D314" s="88"/>
      <c r="E314" s="88"/>
      <c r="F314" s="196"/>
      <c r="G314" s="196"/>
      <c r="H314" s="196"/>
      <c r="I314" s="196"/>
      <c r="J314" s="196"/>
      <c r="K314" s="196"/>
      <c r="L314" s="196"/>
      <c r="M314" s="196"/>
      <c r="N314" s="196"/>
      <c r="O314" s="196"/>
      <c r="P314" s="196"/>
      <c r="Q314" s="196"/>
      <c r="R314" s="196"/>
      <c r="S314" s="196"/>
      <c r="T314" s="196"/>
      <c r="U314" s="196"/>
      <c r="V314" s="196"/>
      <c r="W314" s="196"/>
      <c r="X314" s="196"/>
      <c r="Y314" s="196"/>
      <c r="Z314" s="196"/>
      <c r="AA314" s="196"/>
      <c r="AB314" s="196"/>
      <c r="AC314" s="196"/>
      <c r="AD314" s="196"/>
      <c r="AE314" s="196"/>
      <c r="AF314" s="196"/>
      <c r="AG314" s="196"/>
      <c r="AH314" s="196"/>
      <c r="AI314" s="196"/>
      <c r="AJ314" s="196"/>
      <c r="AK314" s="196"/>
      <c r="AL314" s="196"/>
      <c r="AM314" s="196"/>
      <c r="AN314" s="196"/>
      <c r="AO314" s="196"/>
      <c r="AP314" s="196"/>
      <c r="AQ314" s="196"/>
      <c r="AR314" s="196"/>
      <c r="AS314" s="196"/>
    </row>
    <row r="315" spans="1:45" ht="15.75" customHeight="1">
      <c r="A315" s="196"/>
      <c r="B315" s="196"/>
      <c r="C315" s="88"/>
      <c r="D315" s="88"/>
      <c r="E315" s="88"/>
      <c r="F315" s="196"/>
      <c r="G315" s="196"/>
      <c r="H315" s="196"/>
      <c r="I315" s="196"/>
      <c r="J315" s="196"/>
      <c r="K315" s="196"/>
      <c r="L315" s="196"/>
      <c r="M315" s="196"/>
      <c r="N315" s="196"/>
      <c r="O315" s="196"/>
      <c r="P315" s="196"/>
      <c r="Q315" s="196"/>
      <c r="R315" s="196"/>
      <c r="S315" s="196"/>
      <c r="T315" s="196"/>
      <c r="U315" s="196"/>
      <c r="V315" s="196"/>
      <c r="W315" s="196"/>
      <c r="X315" s="196"/>
      <c r="Y315" s="196"/>
      <c r="Z315" s="196"/>
      <c r="AA315" s="196"/>
      <c r="AB315" s="196"/>
      <c r="AC315" s="196"/>
      <c r="AD315" s="196"/>
      <c r="AE315" s="196"/>
      <c r="AF315" s="196"/>
      <c r="AG315" s="196"/>
      <c r="AH315" s="196"/>
      <c r="AI315" s="196"/>
      <c r="AJ315" s="196"/>
      <c r="AK315" s="196"/>
      <c r="AL315" s="196"/>
      <c r="AM315" s="196"/>
      <c r="AN315" s="196"/>
      <c r="AO315" s="196"/>
      <c r="AP315" s="196"/>
      <c r="AQ315" s="196"/>
      <c r="AR315" s="196"/>
      <c r="AS315" s="196"/>
    </row>
    <row r="316" spans="1:45" ht="15.75" customHeight="1">
      <c r="A316" s="196"/>
      <c r="B316" s="196"/>
      <c r="C316" s="88"/>
      <c r="D316" s="88"/>
      <c r="E316" s="88"/>
      <c r="F316" s="196"/>
      <c r="G316" s="196"/>
      <c r="H316" s="196"/>
      <c r="I316" s="196"/>
      <c r="J316" s="196"/>
      <c r="K316" s="196"/>
      <c r="L316" s="196"/>
      <c r="M316" s="196"/>
      <c r="N316" s="196"/>
      <c r="O316" s="196"/>
      <c r="P316" s="196"/>
      <c r="Q316" s="196"/>
      <c r="R316" s="196"/>
      <c r="S316" s="196"/>
      <c r="T316" s="196"/>
      <c r="U316" s="196"/>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6"/>
      <c r="AQ316" s="196"/>
      <c r="AR316" s="196"/>
      <c r="AS316" s="196"/>
    </row>
    <row r="317" spans="1:45" ht="15.75" customHeight="1">
      <c r="A317" s="196"/>
      <c r="B317" s="196"/>
      <c r="C317" s="88"/>
      <c r="D317" s="88"/>
      <c r="E317" s="88"/>
      <c r="F317" s="196"/>
      <c r="G317" s="196"/>
      <c r="H317" s="196"/>
      <c r="I317" s="196"/>
      <c r="J317" s="196"/>
      <c r="K317" s="196"/>
      <c r="L317" s="196"/>
      <c r="M317" s="196"/>
      <c r="N317" s="196"/>
      <c r="O317" s="196"/>
      <c r="P317" s="196"/>
      <c r="Q317" s="196"/>
      <c r="R317" s="196"/>
      <c r="S317" s="196"/>
      <c r="T317" s="196"/>
      <c r="U317" s="196"/>
      <c r="V317" s="196"/>
      <c r="W317" s="196"/>
      <c r="X317" s="196"/>
      <c r="Y317" s="196"/>
      <c r="Z317" s="196"/>
      <c r="AA317" s="196"/>
      <c r="AB317" s="196"/>
      <c r="AC317" s="196"/>
      <c r="AD317" s="196"/>
      <c r="AE317" s="196"/>
      <c r="AF317" s="196"/>
      <c r="AG317" s="196"/>
      <c r="AH317" s="196"/>
      <c r="AI317" s="196"/>
      <c r="AJ317" s="196"/>
      <c r="AK317" s="196"/>
      <c r="AL317" s="196"/>
      <c r="AM317" s="196"/>
      <c r="AN317" s="196"/>
      <c r="AO317" s="196"/>
      <c r="AP317" s="196"/>
      <c r="AQ317" s="196"/>
      <c r="AR317" s="196"/>
      <c r="AS317" s="196"/>
    </row>
    <row r="318" spans="1:45" ht="15.75" customHeight="1">
      <c r="A318" s="196"/>
      <c r="B318" s="196"/>
      <c r="C318" s="88"/>
      <c r="D318" s="88"/>
      <c r="E318" s="88"/>
      <c r="F318" s="196"/>
      <c r="G318" s="196"/>
      <c r="H318" s="196"/>
      <c r="I318" s="196"/>
      <c r="J318" s="196"/>
      <c r="K318" s="196"/>
      <c r="L318" s="196"/>
      <c r="M318" s="196"/>
      <c r="N318" s="196"/>
      <c r="O318" s="196"/>
      <c r="P318" s="196"/>
      <c r="Q318" s="196"/>
      <c r="R318" s="196"/>
      <c r="S318" s="196"/>
      <c r="T318" s="196"/>
      <c r="U318" s="196"/>
      <c r="V318" s="196"/>
      <c r="W318" s="196"/>
      <c r="X318" s="196"/>
      <c r="Y318" s="196"/>
      <c r="Z318" s="196"/>
      <c r="AA318" s="196"/>
      <c r="AB318" s="196"/>
      <c r="AC318" s="196"/>
      <c r="AD318" s="196"/>
      <c r="AE318" s="196"/>
      <c r="AF318" s="196"/>
      <c r="AG318" s="196"/>
      <c r="AH318" s="196"/>
      <c r="AI318" s="196"/>
      <c r="AJ318" s="196"/>
      <c r="AK318" s="196"/>
      <c r="AL318" s="196"/>
      <c r="AM318" s="196"/>
      <c r="AN318" s="196"/>
      <c r="AO318" s="196"/>
      <c r="AP318" s="196"/>
      <c r="AQ318" s="196"/>
      <c r="AR318" s="196"/>
      <c r="AS318" s="196"/>
    </row>
    <row r="319" spans="1:45" ht="15.75" customHeight="1">
      <c r="A319" s="196"/>
      <c r="B319" s="196"/>
      <c r="C319" s="88"/>
      <c r="D319" s="88"/>
      <c r="E319" s="88"/>
      <c r="F319" s="196"/>
      <c r="G319" s="196"/>
      <c r="H319" s="196"/>
      <c r="I319" s="196"/>
      <c r="J319" s="196"/>
      <c r="K319" s="196"/>
      <c r="L319" s="196"/>
      <c r="M319" s="196"/>
      <c r="N319" s="196"/>
      <c r="O319" s="196"/>
      <c r="P319" s="196"/>
      <c r="Q319" s="196"/>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c r="AN319" s="196"/>
      <c r="AO319" s="196"/>
      <c r="AP319" s="196"/>
      <c r="AQ319" s="196"/>
      <c r="AR319" s="196"/>
      <c r="AS319" s="196"/>
    </row>
    <row r="320" spans="1:45" ht="15.75" customHeight="1">
      <c r="A320" s="196"/>
      <c r="B320" s="196"/>
      <c r="C320" s="88"/>
      <c r="D320" s="88"/>
      <c r="E320" s="88"/>
      <c r="F320" s="196"/>
      <c r="G320" s="196"/>
      <c r="H320" s="196"/>
      <c r="I320" s="196"/>
      <c r="J320" s="196"/>
      <c r="K320" s="196"/>
      <c r="L320" s="196"/>
      <c r="M320" s="196"/>
      <c r="N320" s="196"/>
      <c r="O320" s="196"/>
      <c r="P320" s="196"/>
      <c r="Q320" s="196"/>
      <c r="R320" s="196"/>
      <c r="S320" s="196"/>
      <c r="T320" s="196"/>
      <c r="U320" s="196"/>
      <c r="V320" s="196"/>
      <c r="W320" s="196"/>
      <c r="X320" s="196"/>
      <c r="Y320" s="196"/>
      <c r="Z320" s="196"/>
      <c r="AA320" s="196"/>
      <c r="AB320" s="196"/>
      <c r="AC320" s="196"/>
      <c r="AD320" s="196"/>
      <c r="AE320" s="196"/>
      <c r="AF320" s="196"/>
      <c r="AG320" s="196"/>
      <c r="AH320" s="196"/>
      <c r="AI320" s="196"/>
      <c r="AJ320" s="196"/>
      <c r="AK320" s="196"/>
      <c r="AL320" s="196"/>
      <c r="AM320" s="196"/>
      <c r="AN320" s="196"/>
      <c r="AO320" s="196"/>
      <c r="AP320" s="196"/>
      <c r="AQ320" s="196"/>
      <c r="AR320" s="196"/>
      <c r="AS320" s="196"/>
    </row>
    <row r="321" spans="1:45" ht="15.75" customHeight="1">
      <c r="A321" s="196"/>
      <c r="B321" s="196"/>
      <c r="C321" s="88"/>
      <c r="D321" s="88"/>
      <c r="E321" s="88"/>
      <c r="F321" s="196"/>
      <c r="G321" s="196"/>
      <c r="H321" s="196"/>
      <c r="I321" s="196"/>
      <c r="J321" s="196"/>
      <c r="K321" s="196"/>
      <c r="L321" s="196"/>
      <c r="M321" s="196"/>
      <c r="N321" s="196"/>
      <c r="O321" s="196"/>
      <c r="P321" s="196"/>
      <c r="Q321" s="196"/>
      <c r="R321" s="196"/>
      <c r="S321" s="196"/>
      <c r="T321" s="196"/>
      <c r="U321" s="196"/>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row>
    <row r="322" spans="1:45" ht="15.75" customHeight="1">
      <c r="A322" s="196"/>
      <c r="B322" s="196"/>
      <c r="C322" s="88"/>
      <c r="D322" s="88"/>
      <c r="E322" s="88"/>
      <c r="F322" s="196"/>
      <c r="G322" s="196"/>
      <c r="H322" s="196"/>
      <c r="I322" s="196"/>
      <c r="J322" s="196"/>
      <c r="K322" s="196"/>
      <c r="L322" s="196"/>
      <c r="M322" s="196"/>
      <c r="N322" s="196"/>
      <c r="O322" s="196"/>
      <c r="P322" s="196"/>
      <c r="Q322" s="196"/>
      <c r="R322" s="196"/>
      <c r="S322" s="196"/>
      <c r="T322" s="196"/>
      <c r="U322" s="196"/>
      <c r="V322" s="196"/>
      <c r="W322" s="196"/>
      <c r="X322" s="196"/>
      <c r="Y322" s="196"/>
      <c r="Z322" s="196"/>
      <c r="AA322" s="196"/>
      <c r="AB322" s="196"/>
      <c r="AC322" s="196"/>
      <c r="AD322" s="196"/>
      <c r="AE322" s="196"/>
      <c r="AF322" s="196"/>
      <c r="AG322" s="196"/>
      <c r="AH322" s="196"/>
      <c r="AI322" s="196"/>
      <c r="AJ322" s="196"/>
      <c r="AK322" s="196"/>
      <c r="AL322" s="196"/>
      <c r="AM322" s="196"/>
      <c r="AN322" s="196"/>
      <c r="AO322" s="196"/>
      <c r="AP322" s="196"/>
      <c r="AQ322" s="196"/>
      <c r="AR322" s="196"/>
      <c r="AS322" s="196"/>
    </row>
    <row r="323" spans="1:45" ht="15.75" customHeight="1">
      <c r="A323" s="196"/>
      <c r="B323" s="196"/>
      <c r="C323" s="88"/>
      <c r="D323" s="88"/>
      <c r="E323" s="88"/>
      <c r="F323" s="196"/>
      <c r="G323" s="196"/>
      <c r="H323" s="196"/>
      <c r="I323" s="196"/>
      <c r="J323" s="196"/>
      <c r="K323" s="196"/>
      <c r="L323" s="196"/>
      <c r="M323" s="196"/>
      <c r="N323" s="196"/>
      <c r="O323" s="196"/>
      <c r="P323" s="196"/>
      <c r="Q323" s="196"/>
      <c r="R323" s="196"/>
      <c r="S323" s="196"/>
      <c r="T323" s="196"/>
      <c r="U323" s="196"/>
      <c r="V323" s="196"/>
      <c r="W323" s="196"/>
      <c r="X323" s="196"/>
      <c r="Y323" s="196"/>
      <c r="Z323" s="196"/>
      <c r="AA323" s="196"/>
      <c r="AB323" s="196"/>
      <c r="AC323" s="196"/>
      <c r="AD323" s="196"/>
      <c r="AE323" s="196"/>
      <c r="AF323" s="196"/>
      <c r="AG323" s="196"/>
      <c r="AH323" s="196"/>
      <c r="AI323" s="196"/>
      <c r="AJ323" s="196"/>
      <c r="AK323" s="196"/>
      <c r="AL323" s="196"/>
      <c r="AM323" s="196"/>
      <c r="AN323" s="196"/>
      <c r="AO323" s="196"/>
      <c r="AP323" s="196"/>
      <c r="AQ323" s="196"/>
      <c r="AR323" s="196"/>
      <c r="AS323" s="196"/>
    </row>
    <row r="324" spans="1:45" ht="15.75" customHeight="1">
      <c r="A324" s="196"/>
      <c r="B324" s="196"/>
      <c r="C324" s="88"/>
      <c r="D324" s="88"/>
      <c r="E324" s="88"/>
      <c r="F324" s="196"/>
      <c r="G324" s="196"/>
      <c r="H324" s="196"/>
      <c r="I324" s="196"/>
      <c r="J324" s="196"/>
      <c r="K324" s="196"/>
      <c r="L324" s="196"/>
      <c r="M324" s="196"/>
      <c r="N324" s="196"/>
      <c r="O324" s="196"/>
      <c r="P324" s="196"/>
      <c r="Q324" s="196"/>
      <c r="R324" s="196"/>
      <c r="S324" s="196"/>
      <c r="T324" s="196"/>
      <c r="U324" s="196"/>
      <c r="V324" s="196"/>
      <c r="W324" s="196"/>
      <c r="X324" s="196"/>
      <c r="Y324" s="196"/>
      <c r="Z324" s="196"/>
      <c r="AA324" s="196"/>
      <c r="AB324" s="196"/>
      <c r="AC324" s="196"/>
      <c r="AD324" s="196"/>
      <c r="AE324" s="196"/>
      <c r="AF324" s="196"/>
      <c r="AG324" s="196"/>
      <c r="AH324" s="196"/>
      <c r="AI324" s="196"/>
      <c r="AJ324" s="196"/>
      <c r="AK324" s="196"/>
      <c r="AL324" s="196"/>
      <c r="AM324" s="196"/>
      <c r="AN324" s="196"/>
      <c r="AO324" s="196"/>
      <c r="AP324" s="196"/>
      <c r="AQ324" s="196"/>
      <c r="AR324" s="196"/>
      <c r="AS324" s="196"/>
    </row>
    <row r="325" spans="1:45" ht="15.75" customHeight="1">
      <c r="A325" s="196"/>
      <c r="B325" s="196"/>
      <c r="C325" s="88"/>
      <c r="D325" s="88"/>
      <c r="E325" s="88"/>
      <c r="F325" s="196"/>
      <c r="G325" s="196"/>
      <c r="H325" s="196"/>
      <c r="I325" s="196"/>
      <c r="J325" s="196"/>
      <c r="K325" s="196"/>
      <c r="L325" s="196"/>
      <c r="M325" s="196"/>
      <c r="N325" s="196"/>
      <c r="O325" s="196"/>
      <c r="P325" s="196"/>
      <c r="Q325" s="196"/>
      <c r="R325" s="196"/>
      <c r="S325" s="196"/>
      <c r="T325" s="196"/>
      <c r="U325" s="196"/>
      <c r="V325" s="196"/>
      <c r="W325" s="196"/>
      <c r="X325" s="196"/>
      <c r="Y325" s="196"/>
      <c r="Z325" s="196"/>
      <c r="AA325" s="196"/>
      <c r="AB325" s="196"/>
      <c r="AC325" s="196"/>
      <c r="AD325" s="196"/>
      <c r="AE325" s="196"/>
      <c r="AF325" s="196"/>
      <c r="AG325" s="196"/>
      <c r="AH325" s="196"/>
      <c r="AI325" s="196"/>
      <c r="AJ325" s="196"/>
      <c r="AK325" s="196"/>
      <c r="AL325" s="196"/>
      <c r="AM325" s="196"/>
      <c r="AN325" s="196"/>
      <c r="AO325" s="196"/>
      <c r="AP325" s="196"/>
      <c r="AQ325" s="196"/>
      <c r="AR325" s="196"/>
      <c r="AS325" s="196"/>
    </row>
    <row r="326" spans="1:45" ht="15.75" customHeight="1">
      <c r="A326" s="196"/>
      <c r="B326" s="196"/>
      <c r="C326" s="88"/>
      <c r="D326" s="88"/>
      <c r="E326" s="88"/>
      <c r="F326" s="196"/>
      <c r="G326" s="196"/>
      <c r="H326" s="196"/>
      <c r="I326" s="196"/>
      <c r="J326" s="196"/>
      <c r="K326" s="196"/>
      <c r="L326" s="196"/>
      <c r="M326" s="196"/>
      <c r="N326" s="196"/>
      <c r="O326" s="196"/>
      <c r="P326" s="196"/>
      <c r="Q326" s="196"/>
      <c r="R326" s="196"/>
      <c r="S326" s="196"/>
      <c r="T326" s="196"/>
      <c r="U326" s="196"/>
      <c r="V326" s="196"/>
      <c r="W326" s="196"/>
      <c r="X326" s="196"/>
      <c r="Y326" s="196"/>
      <c r="Z326" s="196"/>
      <c r="AA326" s="196"/>
      <c r="AB326" s="196"/>
      <c r="AC326" s="196"/>
      <c r="AD326" s="196"/>
      <c r="AE326" s="196"/>
      <c r="AF326" s="196"/>
      <c r="AG326" s="196"/>
      <c r="AH326" s="196"/>
      <c r="AI326" s="196"/>
      <c r="AJ326" s="196"/>
      <c r="AK326" s="196"/>
      <c r="AL326" s="196"/>
      <c r="AM326" s="196"/>
      <c r="AN326" s="196"/>
      <c r="AO326" s="196"/>
      <c r="AP326" s="196"/>
      <c r="AQ326" s="196"/>
      <c r="AR326" s="196"/>
      <c r="AS326" s="196"/>
    </row>
    <row r="327" spans="1:45" ht="15.75" customHeight="1">
      <c r="A327" s="196"/>
      <c r="B327" s="196"/>
      <c r="C327" s="88"/>
      <c r="D327" s="88"/>
      <c r="E327" s="88"/>
      <c r="F327" s="196"/>
      <c r="G327" s="196"/>
      <c r="H327" s="196"/>
      <c r="I327" s="196"/>
      <c r="J327" s="196"/>
      <c r="K327" s="196"/>
      <c r="L327" s="196"/>
      <c r="M327" s="196"/>
      <c r="N327" s="196"/>
      <c r="O327" s="196"/>
      <c r="P327" s="196"/>
      <c r="Q327" s="196"/>
      <c r="R327" s="196"/>
      <c r="S327" s="196"/>
      <c r="T327" s="196"/>
      <c r="U327" s="196"/>
      <c r="V327" s="196"/>
      <c r="W327" s="196"/>
      <c r="X327" s="196"/>
      <c r="Y327" s="196"/>
      <c r="Z327" s="196"/>
      <c r="AA327" s="196"/>
      <c r="AB327" s="196"/>
      <c r="AC327" s="196"/>
      <c r="AD327" s="196"/>
      <c r="AE327" s="196"/>
      <c r="AF327" s="196"/>
      <c r="AG327" s="196"/>
      <c r="AH327" s="196"/>
      <c r="AI327" s="196"/>
      <c r="AJ327" s="196"/>
      <c r="AK327" s="196"/>
      <c r="AL327" s="196"/>
      <c r="AM327" s="196"/>
      <c r="AN327" s="196"/>
      <c r="AO327" s="196"/>
      <c r="AP327" s="196"/>
      <c r="AQ327" s="196"/>
      <c r="AR327" s="196"/>
      <c r="AS327" s="196"/>
    </row>
    <row r="328" spans="1:45" ht="15.75" customHeight="1">
      <c r="A328" s="196"/>
      <c r="B328" s="196"/>
      <c r="C328" s="88"/>
      <c r="D328" s="88"/>
      <c r="E328" s="88"/>
      <c r="F328" s="196"/>
      <c r="G328" s="196"/>
      <c r="H328" s="196"/>
      <c r="I328" s="196"/>
      <c r="J328" s="196"/>
      <c r="K328" s="196"/>
      <c r="L328" s="196"/>
      <c r="M328" s="196"/>
      <c r="N328" s="196"/>
      <c r="O328" s="196"/>
      <c r="P328" s="196"/>
      <c r="Q328" s="196"/>
      <c r="R328" s="196"/>
      <c r="S328" s="196"/>
      <c r="T328" s="196"/>
      <c r="U328" s="196"/>
      <c r="V328" s="196"/>
      <c r="W328" s="196"/>
      <c r="X328" s="196"/>
      <c r="Y328" s="196"/>
      <c r="Z328" s="196"/>
      <c r="AA328" s="196"/>
      <c r="AB328" s="196"/>
      <c r="AC328" s="196"/>
      <c r="AD328" s="196"/>
      <c r="AE328" s="196"/>
      <c r="AF328" s="196"/>
      <c r="AG328" s="196"/>
      <c r="AH328" s="196"/>
      <c r="AI328" s="196"/>
      <c r="AJ328" s="196"/>
      <c r="AK328" s="196"/>
      <c r="AL328" s="196"/>
      <c r="AM328" s="196"/>
      <c r="AN328" s="196"/>
      <c r="AO328" s="196"/>
      <c r="AP328" s="196"/>
      <c r="AQ328" s="196"/>
      <c r="AR328" s="196"/>
      <c r="AS328" s="196"/>
    </row>
    <row r="329" spans="1:45" ht="15.75" customHeight="1">
      <c r="A329" s="196"/>
      <c r="B329" s="196"/>
      <c r="C329" s="88"/>
      <c r="D329" s="88"/>
      <c r="E329" s="88"/>
      <c r="F329" s="196"/>
      <c r="G329" s="196"/>
      <c r="H329" s="196"/>
      <c r="I329" s="196"/>
      <c r="J329" s="196"/>
      <c r="K329" s="196"/>
      <c r="L329" s="196"/>
      <c r="M329" s="196"/>
      <c r="N329" s="196"/>
      <c r="O329" s="196"/>
      <c r="P329" s="196"/>
      <c r="Q329" s="196"/>
      <c r="R329" s="196"/>
      <c r="S329" s="196"/>
      <c r="T329" s="196"/>
      <c r="U329" s="196"/>
      <c r="V329" s="196"/>
      <c r="W329" s="196"/>
      <c r="X329" s="196"/>
      <c r="Y329" s="196"/>
      <c r="Z329" s="196"/>
      <c r="AA329" s="196"/>
      <c r="AB329" s="196"/>
      <c r="AC329" s="196"/>
      <c r="AD329" s="196"/>
      <c r="AE329" s="196"/>
      <c r="AF329" s="196"/>
      <c r="AG329" s="196"/>
      <c r="AH329" s="196"/>
      <c r="AI329" s="196"/>
      <c r="AJ329" s="196"/>
      <c r="AK329" s="196"/>
      <c r="AL329" s="196"/>
      <c r="AM329" s="196"/>
      <c r="AN329" s="196"/>
      <c r="AO329" s="196"/>
      <c r="AP329" s="196"/>
      <c r="AQ329" s="196"/>
      <c r="AR329" s="196"/>
      <c r="AS329" s="196"/>
    </row>
    <row r="330" spans="1:45" ht="15.75" customHeight="1">
      <c r="A330" s="196"/>
      <c r="B330" s="196"/>
      <c r="C330" s="88"/>
      <c r="D330" s="88"/>
      <c r="E330" s="88"/>
      <c r="F330" s="196"/>
      <c r="G330" s="196"/>
      <c r="H330" s="196"/>
      <c r="I330" s="196"/>
      <c r="J330" s="196"/>
      <c r="K330" s="196"/>
      <c r="L330" s="196"/>
      <c r="M330" s="196"/>
      <c r="N330" s="196"/>
      <c r="O330" s="196"/>
      <c r="P330" s="196"/>
      <c r="Q330" s="196"/>
      <c r="R330" s="196"/>
      <c r="S330" s="196"/>
      <c r="T330" s="196"/>
      <c r="U330" s="196"/>
      <c r="V330" s="196"/>
      <c r="W330" s="196"/>
      <c r="X330" s="196"/>
      <c r="Y330" s="196"/>
      <c r="Z330" s="196"/>
      <c r="AA330" s="196"/>
      <c r="AB330" s="196"/>
      <c r="AC330" s="196"/>
      <c r="AD330" s="196"/>
      <c r="AE330" s="196"/>
      <c r="AF330" s="196"/>
      <c r="AG330" s="196"/>
      <c r="AH330" s="196"/>
      <c r="AI330" s="196"/>
      <c r="AJ330" s="196"/>
      <c r="AK330" s="196"/>
      <c r="AL330" s="196"/>
      <c r="AM330" s="196"/>
      <c r="AN330" s="196"/>
      <c r="AO330" s="196"/>
      <c r="AP330" s="196"/>
      <c r="AQ330" s="196"/>
      <c r="AR330" s="196"/>
      <c r="AS330" s="196"/>
    </row>
    <row r="331" spans="1:45" ht="15.75" customHeight="1">
      <c r="A331" s="196"/>
      <c r="B331" s="196"/>
      <c r="C331" s="88"/>
      <c r="D331" s="88"/>
      <c r="E331" s="88"/>
      <c r="F331" s="196"/>
      <c r="G331" s="196"/>
      <c r="H331" s="196"/>
      <c r="I331" s="196"/>
      <c r="J331" s="196"/>
      <c r="K331" s="196"/>
      <c r="L331" s="196"/>
      <c r="M331" s="196"/>
      <c r="N331" s="196"/>
      <c r="O331" s="196"/>
      <c r="P331" s="196"/>
      <c r="Q331" s="196"/>
      <c r="R331" s="196"/>
      <c r="S331" s="196"/>
      <c r="T331" s="196"/>
      <c r="U331" s="196"/>
      <c r="V331" s="196"/>
      <c r="W331" s="196"/>
      <c r="X331" s="196"/>
      <c r="Y331" s="196"/>
      <c r="Z331" s="196"/>
      <c r="AA331" s="196"/>
      <c r="AB331" s="196"/>
      <c r="AC331" s="196"/>
      <c r="AD331" s="196"/>
      <c r="AE331" s="196"/>
      <c r="AF331" s="196"/>
      <c r="AG331" s="196"/>
      <c r="AH331" s="196"/>
      <c r="AI331" s="196"/>
      <c r="AJ331" s="196"/>
      <c r="AK331" s="196"/>
      <c r="AL331" s="196"/>
      <c r="AM331" s="196"/>
      <c r="AN331" s="196"/>
      <c r="AO331" s="196"/>
      <c r="AP331" s="196"/>
      <c r="AQ331" s="196"/>
      <c r="AR331" s="196"/>
      <c r="AS331" s="196"/>
    </row>
    <row r="332" spans="1:45" ht="15.75" customHeight="1">
      <c r="A332" s="196"/>
      <c r="B332" s="196"/>
      <c r="C332" s="88"/>
      <c r="D332" s="88"/>
      <c r="E332" s="88"/>
      <c r="F332" s="196"/>
      <c r="G332" s="196"/>
      <c r="H332" s="196"/>
      <c r="I332" s="196"/>
      <c r="J332" s="196"/>
      <c r="K332" s="196"/>
      <c r="L332" s="196"/>
      <c r="M332" s="196"/>
      <c r="N332" s="196"/>
      <c r="O332" s="196"/>
      <c r="P332" s="196"/>
      <c r="Q332" s="196"/>
      <c r="R332" s="196"/>
      <c r="S332" s="196"/>
      <c r="T332" s="196"/>
      <c r="U332" s="196"/>
      <c r="V332" s="196"/>
      <c r="W332" s="196"/>
      <c r="X332" s="196"/>
      <c r="Y332" s="196"/>
      <c r="Z332" s="196"/>
      <c r="AA332" s="196"/>
      <c r="AB332" s="196"/>
      <c r="AC332" s="196"/>
      <c r="AD332" s="196"/>
      <c r="AE332" s="196"/>
      <c r="AF332" s="196"/>
      <c r="AG332" s="196"/>
      <c r="AH332" s="196"/>
      <c r="AI332" s="196"/>
      <c r="AJ332" s="196"/>
      <c r="AK332" s="196"/>
      <c r="AL332" s="196"/>
      <c r="AM332" s="196"/>
      <c r="AN332" s="196"/>
      <c r="AO332" s="196"/>
      <c r="AP332" s="196"/>
      <c r="AQ332" s="196"/>
      <c r="AR332" s="196"/>
      <c r="AS332" s="196"/>
    </row>
    <row r="333" spans="1:45" ht="15.75" customHeight="1">
      <c r="A333" s="196"/>
      <c r="B333" s="196"/>
      <c r="C333" s="88"/>
      <c r="D333" s="88"/>
      <c r="E333" s="88"/>
      <c r="F333" s="196"/>
      <c r="G333" s="196"/>
      <c r="H333" s="196"/>
      <c r="I333" s="196"/>
      <c r="J333" s="196"/>
      <c r="K333" s="196"/>
      <c r="L333" s="196"/>
      <c r="M333" s="196"/>
      <c r="N333" s="196"/>
      <c r="O333" s="196"/>
      <c r="P333" s="196"/>
      <c r="Q333" s="196"/>
      <c r="R333" s="196"/>
      <c r="S333" s="196"/>
      <c r="T333" s="196"/>
      <c r="U333" s="196"/>
      <c r="V333" s="196"/>
      <c r="W333" s="196"/>
      <c r="X333" s="196"/>
      <c r="Y333" s="196"/>
      <c r="Z333" s="196"/>
      <c r="AA333" s="196"/>
      <c r="AB333" s="196"/>
      <c r="AC333" s="196"/>
      <c r="AD333" s="196"/>
      <c r="AE333" s="196"/>
      <c r="AF333" s="196"/>
      <c r="AG333" s="196"/>
      <c r="AH333" s="196"/>
      <c r="AI333" s="196"/>
      <c r="AJ333" s="196"/>
      <c r="AK333" s="196"/>
      <c r="AL333" s="196"/>
      <c r="AM333" s="196"/>
      <c r="AN333" s="196"/>
      <c r="AO333" s="196"/>
      <c r="AP333" s="196"/>
      <c r="AQ333" s="196"/>
      <c r="AR333" s="196"/>
      <c r="AS333" s="196"/>
    </row>
    <row r="334" spans="1:45" ht="15.75" customHeight="1">
      <c r="A334" s="196"/>
      <c r="B334" s="196"/>
      <c r="C334" s="88"/>
      <c r="D334" s="88"/>
      <c r="E334" s="88"/>
      <c r="F334" s="196"/>
      <c r="G334" s="196"/>
      <c r="H334" s="196"/>
      <c r="I334" s="196"/>
      <c r="J334" s="196"/>
      <c r="K334" s="196"/>
      <c r="L334" s="196"/>
      <c r="M334" s="196"/>
      <c r="N334" s="196"/>
      <c r="O334" s="196"/>
      <c r="P334" s="196"/>
      <c r="Q334" s="196"/>
      <c r="R334" s="196"/>
      <c r="S334" s="196"/>
      <c r="T334" s="196"/>
      <c r="U334" s="196"/>
      <c r="V334" s="196"/>
      <c r="W334" s="196"/>
      <c r="X334" s="196"/>
      <c r="Y334" s="196"/>
      <c r="Z334" s="196"/>
      <c r="AA334" s="196"/>
      <c r="AB334" s="196"/>
      <c r="AC334" s="196"/>
      <c r="AD334" s="196"/>
      <c r="AE334" s="196"/>
      <c r="AF334" s="196"/>
      <c r="AG334" s="196"/>
      <c r="AH334" s="196"/>
      <c r="AI334" s="196"/>
      <c r="AJ334" s="196"/>
      <c r="AK334" s="196"/>
      <c r="AL334" s="196"/>
      <c r="AM334" s="196"/>
      <c r="AN334" s="196"/>
      <c r="AO334" s="196"/>
      <c r="AP334" s="196"/>
      <c r="AQ334" s="196"/>
      <c r="AR334" s="196"/>
      <c r="AS334" s="196"/>
    </row>
    <row r="335" spans="1:45" ht="15.75" customHeight="1">
      <c r="A335" s="196"/>
      <c r="B335" s="196"/>
      <c r="C335" s="88"/>
      <c r="D335" s="88"/>
      <c r="E335" s="88"/>
      <c r="F335" s="196"/>
      <c r="G335" s="196"/>
      <c r="H335" s="196"/>
      <c r="I335" s="196"/>
      <c r="J335" s="196"/>
      <c r="K335" s="196"/>
      <c r="L335" s="196"/>
      <c r="M335" s="196"/>
      <c r="N335" s="196"/>
      <c r="O335" s="196"/>
      <c r="P335" s="196"/>
      <c r="Q335" s="196"/>
      <c r="R335" s="196"/>
      <c r="S335" s="196"/>
      <c r="T335" s="196"/>
      <c r="U335" s="196"/>
      <c r="V335" s="196"/>
      <c r="W335" s="196"/>
      <c r="X335" s="196"/>
      <c r="Y335" s="196"/>
      <c r="Z335" s="196"/>
      <c r="AA335" s="196"/>
      <c r="AB335" s="196"/>
      <c r="AC335" s="196"/>
      <c r="AD335" s="196"/>
      <c r="AE335" s="196"/>
      <c r="AF335" s="196"/>
      <c r="AG335" s="196"/>
      <c r="AH335" s="196"/>
      <c r="AI335" s="196"/>
      <c r="AJ335" s="196"/>
      <c r="AK335" s="196"/>
      <c r="AL335" s="196"/>
      <c r="AM335" s="196"/>
      <c r="AN335" s="196"/>
      <c r="AO335" s="196"/>
      <c r="AP335" s="196"/>
      <c r="AQ335" s="196"/>
      <c r="AR335" s="196"/>
      <c r="AS335" s="196"/>
    </row>
    <row r="336" spans="1:45" ht="15.75" customHeight="1">
      <c r="A336" s="196"/>
      <c r="B336" s="196"/>
      <c r="C336" s="88"/>
      <c r="D336" s="88"/>
      <c r="E336" s="88"/>
      <c r="F336" s="196"/>
      <c r="G336" s="196"/>
      <c r="H336" s="196"/>
      <c r="I336" s="196"/>
      <c r="J336" s="196"/>
      <c r="K336" s="196"/>
      <c r="L336" s="196"/>
      <c r="M336" s="196"/>
      <c r="N336" s="196"/>
      <c r="O336" s="196"/>
      <c r="P336" s="196"/>
      <c r="Q336" s="196"/>
      <c r="R336" s="196"/>
      <c r="S336" s="196"/>
      <c r="T336" s="196"/>
      <c r="U336" s="196"/>
      <c r="V336" s="196"/>
      <c r="W336" s="196"/>
      <c r="X336" s="196"/>
      <c r="Y336" s="196"/>
      <c r="Z336" s="196"/>
      <c r="AA336" s="196"/>
      <c r="AB336" s="196"/>
      <c r="AC336" s="196"/>
      <c r="AD336" s="196"/>
      <c r="AE336" s="196"/>
      <c r="AF336" s="196"/>
      <c r="AG336" s="196"/>
      <c r="AH336" s="196"/>
      <c r="AI336" s="196"/>
      <c r="AJ336" s="196"/>
      <c r="AK336" s="196"/>
      <c r="AL336" s="196"/>
      <c r="AM336" s="196"/>
      <c r="AN336" s="196"/>
      <c r="AO336" s="196"/>
      <c r="AP336" s="196"/>
      <c r="AQ336" s="196"/>
      <c r="AR336" s="196"/>
      <c r="AS336" s="196"/>
    </row>
    <row r="337" spans="1:45" ht="15.75" customHeight="1">
      <c r="A337" s="196"/>
      <c r="B337" s="196"/>
      <c r="C337" s="88"/>
      <c r="D337" s="88"/>
      <c r="E337" s="88"/>
      <c r="F337" s="196"/>
      <c r="G337" s="196"/>
      <c r="H337" s="196"/>
      <c r="I337" s="196"/>
      <c r="J337" s="196"/>
      <c r="K337" s="196"/>
      <c r="L337" s="196"/>
      <c r="M337" s="196"/>
      <c r="N337" s="196"/>
      <c r="O337" s="196"/>
      <c r="P337" s="196"/>
      <c r="Q337" s="196"/>
      <c r="R337" s="196"/>
      <c r="S337" s="196"/>
      <c r="T337" s="196"/>
      <c r="U337" s="196"/>
      <c r="V337" s="196"/>
      <c r="W337" s="196"/>
      <c r="X337" s="196"/>
      <c r="Y337" s="196"/>
      <c r="Z337" s="196"/>
      <c r="AA337" s="196"/>
      <c r="AB337" s="196"/>
      <c r="AC337" s="196"/>
      <c r="AD337" s="196"/>
      <c r="AE337" s="196"/>
      <c r="AF337" s="196"/>
      <c r="AG337" s="196"/>
      <c r="AH337" s="196"/>
      <c r="AI337" s="196"/>
      <c r="AJ337" s="196"/>
      <c r="AK337" s="196"/>
      <c r="AL337" s="196"/>
      <c r="AM337" s="196"/>
      <c r="AN337" s="196"/>
      <c r="AO337" s="196"/>
      <c r="AP337" s="196"/>
      <c r="AQ337" s="196"/>
      <c r="AR337" s="196"/>
      <c r="AS337" s="196"/>
    </row>
    <row r="338" spans="1:45" ht="15.75" customHeight="1">
      <c r="A338" s="196"/>
      <c r="B338" s="196"/>
      <c r="C338" s="88"/>
      <c r="D338" s="88"/>
      <c r="E338" s="88"/>
      <c r="F338" s="196"/>
      <c r="G338" s="196"/>
      <c r="H338" s="196"/>
      <c r="I338" s="196"/>
      <c r="J338" s="196"/>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6"/>
      <c r="AS338" s="196"/>
    </row>
    <row r="339" spans="1:45" ht="15.75" customHeight="1">
      <c r="A339" s="196"/>
      <c r="B339" s="196"/>
      <c r="C339" s="88"/>
      <c r="D339" s="88"/>
      <c r="E339" s="88"/>
      <c r="F339" s="196"/>
      <c r="G339" s="196"/>
      <c r="H339" s="196"/>
      <c r="I339" s="196"/>
      <c r="J339" s="196"/>
      <c r="K339" s="196"/>
      <c r="L339" s="196"/>
      <c r="M339" s="196"/>
      <c r="N339" s="196"/>
      <c r="O339" s="196"/>
      <c r="P339" s="196"/>
      <c r="Q339" s="196"/>
      <c r="R339" s="196"/>
      <c r="S339" s="196"/>
      <c r="T339" s="196"/>
      <c r="U339" s="196"/>
      <c r="V339" s="196"/>
      <c r="W339" s="196"/>
      <c r="X339" s="196"/>
      <c r="Y339" s="196"/>
      <c r="Z339" s="196"/>
      <c r="AA339" s="196"/>
      <c r="AB339" s="196"/>
      <c r="AC339" s="196"/>
      <c r="AD339" s="196"/>
      <c r="AE339" s="196"/>
      <c r="AF339" s="196"/>
      <c r="AG339" s="196"/>
      <c r="AH339" s="196"/>
      <c r="AI339" s="196"/>
      <c r="AJ339" s="196"/>
      <c r="AK339" s="196"/>
      <c r="AL339" s="196"/>
      <c r="AM339" s="196"/>
      <c r="AN339" s="196"/>
      <c r="AO339" s="196"/>
      <c r="AP339" s="196"/>
      <c r="AQ339" s="196"/>
      <c r="AR339" s="196"/>
      <c r="AS339" s="196"/>
    </row>
    <row r="340" spans="1:45" ht="15.75" customHeight="1">
      <c r="A340" s="196"/>
      <c r="B340" s="196"/>
      <c r="C340" s="88"/>
      <c r="D340" s="88"/>
      <c r="E340" s="88"/>
      <c r="F340" s="196"/>
      <c r="G340" s="196"/>
      <c r="H340" s="196"/>
      <c r="I340" s="196"/>
      <c r="J340" s="196"/>
      <c r="K340" s="196"/>
      <c r="L340" s="196"/>
      <c r="M340" s="196"/>
      <c r="N340" s="196"/>
      <c r="O340" s="196"/>
      <c r="P340" s="196"/>
      <c r="Q340" s="196"/>
      <c r="R340" s="196"/>
      <c r="S340" s="196"/>
      <c r="T340" s="196"/>
      <c r="U340" s="196"/>
      <c r="V340" s="196"/>
      <c r="W340" s="196"/>
      <c r="X340" s="196"/>
      <c r="Y340" s="196"/>
      <c r="Z340" s="196"/>
      <c r="AA340" s="196"/>
      <c r="AB340" s="196"/>
      <c r="AC340" s="196"/>
      <c r="AD340" s="196"/>
      <c r="AE340" s="196"/>
      <c r="AF340" s="196"/>
      <c r="AG340" s="196"/>
      <c r="AH340" s="196"/>
      <c r="AI340" s="196"/>
      <c r="AJ340" s="196"/>
      <c r="AK340" s="196"/>
      <c r="AL340" s="196"/>
      <c r="AM340" s="196"/>
      <c r="AN340" s="196"/>
      <c r="AO340" s="196"/>
      <c r="AP340" s="196"/>
      <c r="AQ340" s="196"/>
      <c r="AR340" s="196"/>
      <c r="AS340" s="196"/>
    </row>
    <row r="341" spans="1:45" ht="15.75" customHeight="1">
      <c r="A341" s="196"/>
      <c r="B341" s="196"/>
      <c r="C341" s="88"/>
      <c r="D341" s="88"/>
      <c r="E341" s="88"/>
      <c r="F341" s="196"/>
      <c r="G341" s="196"/>
      <c r="H341" s="196"/>
      <c r="I341" s="196"/>
      <c r="J341" s="196"/>
      <c r="K341" s="196"/>
      <c r="L341" s="196"/>
      <c r="M341" s="196"/>
      <c r="N341" s="196"/>
      <c r="O341" s="196"/>
      <c r="P341" s="196"/>
      <c r="Q341" s="196"/>
      <c r="R341" s="196"/>
      <c r="S341" s="196"/>
      <c r="T341" s="196"/>
      <c r="U341" s="196"/>
      <c r="V341" s="196"/>
      <c r="W341" s="196"/>
      <c r="X341" s="196"/>
      <c r="Y341" s="196"/>
      <c r="Z341" s="196"/>
      <c r="AA341" s="196"/>
      <c r="AB341" s="196"/>
      <c r="AC341" s="196"/>
      <c r="AD341" s="196"/>
      <c r="AE341" s="196"/>
      <c r="AF341" s="196"/>
      <c r="AG341" s="196"/>
      <c r="AH341" s="196"/>
      <c r="AI341" s="196"/>
      <c r="AJ341" s="196"/>
      <c r="AK341" s="196"/>
      <c r="AL341" s="196"/>
      <c r="AM341" s="196"/>
      <c r="AN341" s="196"/>
      <c r="AO341" s="196"/>
      <c r="AP341" s="196"/>
      <c r="AQ341" s="196"/>
      <c r="AR341" s="196"/>
      <c r="AS341" s="196"/>
    </row>
    <row r="342" spans="1:45" ht="15.75" customHeight="1">
      <c r="A342" s="196"/>
      <c r="B342" s="196"/>
      <c r="C342" s="88"/>
      <c r="D342" s="88"/>
      <c r="E342" s="88"/>
      <c r="F342" s="196"/>
      <c r="G342" s="196"/>
      <c r="H342" s="196"/>
      <c r="I342" s="196"/>
      <c r="J342" s="196"/>
      <c r="K342" s="196"/>
      <c r="L342" s="196"/>
      <c r="M342" s="196"/>
      <c r="N342" s="196"/>
      <c r="O342" s="196"/>
      <c r="P342" s="196"/>
      <c r="Q342" s="196"/>
      <c r="R342" s="196"/>
      <c r="S342" s="196"/>
      <c r="T342" s="196"/>
      <c r="U342" s="196"/>
      <c r="V342" s="196"/>
      <c r="W342" s="196"/>
      <c r="X342" s="196"/>
      <c r="Y342" s="196"/>
      <c r="Z342" s="196"/>
      <c r="AA342" s="196"/>
      <c r="AB342" s="196"/>
      <c r="AC342" s="196"/>
      <c r="AD342" s="196"/>
      <c r="AE342" s="196"/>
      <c r="AF342" s="196"/>
      <c r="AG342" s="196"/>
      <c r="AH342" s="196"/>
      <c r="AI342" s="196"/>
      <c r="AJ342" s="196"/>
      <c r="AK342" s="196"/>
      <c r="AL342" s="196"/>
      <c r="AM342" s="196"/>
      <c r="AN342" s="196"/>
      <c r="AO342" s="196"/>
      <c r="AP342" s="196"/>
      <c r="AQ342" s="196"/>
      <c r="AR342" s="196"/>
      <c r="AS342" s="196"/>
    </row>
    <row r="343" spans="1:45" ht="15.75" customHeight="1">
      <c r="A343" s="196"/>
      <c r="B343" s="196"/>
      <c r="C343" s="88"/>
      <c r="D343" s="88"/>
      <c r="E343" s="88"/>
      <c r="F343" s="196"/>
      <c r="G343" s="196"/>
      <c r="H343" s="196"/>
      <c r="I343" s="196"/>
      <c r="J343" s="196"/>
      <c r="K343" s="196"/>
      <c r="L343" s="196"/>
      <c r="M343" s="196"/>
      <c r="N343" s="196"/>
      <c r="O343" s="196"/>
      <c r="P343" s="196"/>
      <c r="Q343" s="196"/>
      <c r="R343" s="196"/>
      <c r="S343" s="196"/>
      <c r="T343" s="196"/>
      <c r="U343" s="196"/>
      <c r="V343" s="196"/>
      <c r="W343" s="196"/>
      <c r="X343" s="196"/>
      <c r="Y343" s="196"/>
      <c r="Z343" s="196"/>
      <c r="AA343" s="196"/>
      <c r="AB343" s="196"/>
      <c r="AC343" s="196"/>
      <c r="AD343" s="196"/>
      <c r="AE343" s="196"/>
      <c r="AF343" s="196"/>
      <c r="AG343" s="196"/>
      <c r="AH343" s="196"/>
      <c r="AI343" s="196"/>
      <c r="AJ343" s="196"/>
      <c r="AK343" s="196"/>
      <c r="AL343" s="196"/>
      <c r="AM343" s="196"/>
      <c r="AN343" s="196"/>
      <c r="AO343" s="196"/>
      <c r="AP343" s="196"/>
      <c r="AQ343" s="196"/>
      <c r="AR343" s="196"/>
      <c r="AS343" s="196"/>
    </row>
    <row r="344" spans="1:45" ht="15.75" customHeight="1">
      <c r="A344" s="196"/>
      <c r="B344" s="196"/>
      <c r="C344" s="88"/>
      <c r="D344" s="88"/>
      <c r="E344" s="88"/>
      <c r="F344" s="196"/>
      <c r="G344" s="196"/>
      <c r="H344" s="196"/>
      <c r="I344" s="196"/>
      <c r="J344" s="196"/>
      <c r="K344" s="196"/>
      <c r="L344" s="196"/>
      <c r="M344" s="196"/>
      <c r="N344" s="196"/>
      <c r="O344" s="196"/>
      <c r="P344" s="196"/>
      <c r="Q344" s="196"/>
      <c r="R344" s="196"/>
      <c r="S344" s="196"/>
      <c r="T344" s="196"/>
      <c r="U344" s="196"/>
      <c r="V344" s="196"/>
      <c r="W344" s="196"/>
      <c r="X344" s="196"/>
      <c r="Y344" s="196"/>
      <c r="Z344" s="196"/>
      <c r="AA344" s="196"/>
      <c r="AB344" s="196"/>
      <c r="AC344" s="196"/>
      <c r="AD344" s="196"/>
      <c r="AE344" s="196"/>
      <c r="AF344" s="196"/>
      <c r="AG344" s="196"/>
      <c r="AH344" s="196"/>
      <c r="AI344" s="196"/>
      <c r="AJ344" s="196"/>
      <c r="AK344" s="196"/>
      <c r="AL344" s="196"/>
      <c r="AM344" s="196"/>
      <c r="AN344" s="196"/>
      <c r="AO344" s="196"/>
      <c r="AP344" s="196"/>
      <c r="AQ344" s="196"/>
      <c r="AR344" s="196"/>
      <c r="AS344" s="196"/>
    </row>
    <row r="345" spans="1:45" ht="15.75" customHeight="1">
      <c r="A345" s="196"/>
      <c r="B345" s="196"/>
      <c r="C345" s="88"/>
      <c r="D345" s="88"/>
      <c r="E345" s="88"/>
      <c r="F345" s="196"/>
      <c r="G345" s="196"/>
      <c r="H345" s="196"/>
      <c r="I345" s="196"/>
      <c r="J345" s="196"/>
      <c r="K345" s="196"/>
      <c r="L345" s="196"/>
      <c r="M345" s="196"/>
      <c r="N345" s="196"/>
      <c r="O345" s="196"/>
      <c r="P345" s="196"/>
      <c r="Q345" s="196"/>
      <c r="R345" s="196"/>
      <c r="S345" s="196"/>
      <c r="T345" s="196"/>
      <c r="U345" s="196"/>
      <c r="V345" s="196"/>
      <c r="W345" s="196"/>
      <c r="X345" s="196"/>
      <c r="Y345" s="196"/>
      <c r="Z345" s="196"/>
      <c r="AA345" s="196"/>
      <c r="AB345" s="196"/>
      <c r="AC345" s="196"/>
      <c r="AD345" s="196"/>
      <c r="AE345" s="196"/>
      <c r="AF345" s="196"/>
      <c r="AG345" s="196"/>
      <c r="AH345" s="196"/>
      <c r="AI345" s="196"/>
      <c r="AJ345" s="196"/>
      <c r="AK345" s="196"/>
      <c r="AL345" s="196"/>
      <c r="AM345" s="196"/>
      <c r="AN345" s="196"/>
      <c r="AO345" s="196"/>
      <c r="AP345" s="196"/>
      <c r="AQ345" s="196"/>
      <c r="AR345" s="196"/>
      <c r="AS345" s="196"/>
    </row>
    <row r="346" spans="1:45" ht="15.75" customHeight="1">
      <c r="A346" s="196"/>
      <c r="B346" s="196"/>
      <c r="C346" s="88"/>
      <c r="D346" s="88"/>
      <c r="E346" s="88"/>
      <c r="F346" s="196"/>
      <c r="G346" s="196"/>
      <c r="H346" s="196"/>
      <c r="I346" s="196"/>
      <c r="J346" s="196"/>
      <c r="K346" s="196"/>
      <c r="L346" s="196"/>
      <c r="M346" s="196"/>
      <c r="N346" s="196"/>
      <c r="O346" s="196"/>
      <c r="P346" s="196"/>
      <c r="Q346" s="196"/>
      <c r="R346" s="196"/>
      <c r="S346" s="196"/>
      <c r="T346" s="196"/>
      <c r="U346" s="196"/>
      <c r="V346" s="196"/>
      <c r="W346" s="196"/>
      <c r="X346" s="196"/>
      <c r="Y346" s="196"/>
      <c r="Z346" s="196"/>
      <c r="AA346" s="196"/>
      <c r="AB346" s="196"/>
      <c r="AC346" s="196"/>
      <c r="AD346" s="196"/>
      <c r="AE346" s="196"/>
      <c r="AF346" s="196"/>
      <c r="AG346" s="196"/>
      <c r="AH346" s="196"/>
      <c r="AI346" s="196"/>
      <c r="AJ346" s="196"/>
      <c r="AK346" s="196"/>
      <c r="AL346" s="196"/>
      <c r="AM346" s="196"/>
      <c r="AN346" s="196"/>
      <c r="AO346" s="196"/>
      <c r="AP346" s="196"/>
      <c r="AQ346" s="196"/>
      <c r="AR346" s="196"/>
      <c r="AS346" s="196"/>
    </row>
    <row r="347" spans="1:45" ht="15.75" customHeight="1">
      <c r="A347" s="196"/>
      <c r="B347" s="196"/>
      <c r="C347" s="88"/>
      <c r="D347" s="88"/>
      <c r="E347" s="88"/>
      <c r="F347" s="196"/>
      <c r="G347" s="196"/>
      <c r="H347" s="196"/>
      <c r="I347" s="196"/>
      <c r="J347" s="196"/>
      <c r="K347" s="196"/>
      <c r="L347" s="196"/>
      <c r="M347" s="196"/>
      <c r="N347" s="196"/>
      <c r="O347" s="196"/>
      <c r="P347" s="196"/>
      <c r="Q347" s="196"/>
      <c r="R347" s="196"/>
      <c r="S347" s="196"/>
      <c r="T347" s="196"/>
      <c r="U347" s="196"/>
      <c r="V347" s="196"/>
      <c r="W347" s="196"/>
      <c r="X347" s="196"/>
      <c r="Y347" s="196"/>
      <c r="Z347" s="196"/>
      <c r="AA347" s="196"/>
      <c r="AB347" s="196"/>
      <c r="AC347" s="196"/>
      <c r="AD347" s="196"/>
      <c r="AE347" s="196"/>
      <c r="AF347" s="196"/>
      <c r="AG347" s="196"/>
      <c r="AH347" s="196"/>
      <c r="AI347" s="196"/>
      <c r="AJ347" s="196"/>
      <c r="AK347" s="196"/>
      <c r="AL347" s="196"/>
      <c r="AM347" s="196"/>
      <c r="AN347" s="196"/>
      <c r="AO347" s="196"/>
      <c r="AP347" s="196"/>
      <c r="AQ347" s="196"/>
      <c r="AR347" s="196"/>
      <c r="AS347" s="196"/>
    </row>
    <row r="348" spans="1:45" ht="15.75" customHeight="1">
      <c r="A348" s="196"/>
      <c r="B348" s="196"/>
      <c r="C348" s="88"/>
      <c r="D348" s="88"/>
      <c r="E348" s="88"/>
      <c r="F348" s="196"/>
      <c r="G348" s="196"/>
      <c r="H348" s="196"/>
      <c r="I348" s="196"/>
      <c r="J348" s="196"/>
      <c r="K348" s="196"/>
      <c r="L348" s="196"/>
      <c r="M348" s="196"/>
      <c r="N348" s="196"/>
      <c r="O348" s="196"/>
      <c r="P348" s="196"/>
      <c r="Q348" s="196"/>
      <c r="R348" s="196"/>
      <c r="S348" s="196"/>
      <c r="T348" s="196"/>
      <c r="U348" s="196"/>
      <c r="V348" s="196"/>
      <c r="W348" s="196"/>
      <c r="X348" s="196"/>
      <c r="Y348" s="196"/>
      <c r="Z348" s="196"/>
      <c r="AA348" s="196"/>
      <c r="AB348" s="196"/>
      <c r="AC348" s="196"/>
      <c r="AD348" s="196"/>
      <c r="AE348" s="196"/>
      <c r="AF348" s="196"/>
      <c r="AG348" s="196"/>
      <c r="AH348" s="196"/>
      <c r="AI348" s="196"/>
      <c r="AJ348" s="196"/>
      <c r="AK348" s="196"/>
      <c r="AL348" s="196"/>
      <c r="AM348" s="196"/>
      <c r="AN348" s="196"/>
      <c r="AO348" s="196"/>
      <c r="AP348" s="196"/>
      <c r="AQ348" s="196"/>
      <c r="AR348" s="196"/>
      <c r="AS348" s="196"/>
    </row>
    <row r="349" spans="1:45" ht="15.75" customHeight="1">
      <c r="A349" s="196"/>
      <c r="B349" s="196"/>
      <c r="C349" s="88"/>
      <c r="D349" s="88"/>
      <c r="E349" s="88"/>
      <c r="F349" s="196"/>
      <c r="G349" s="196"/>
      <c r="H349" s="196"/>
      <c r="I349" s="196"/>
      <c r="J349" s="196"/>
      <c r="K349" s="196"/>
      <c r="L349" s="196"/>
      <c r="M349" s="196"/>
      <c r="N349" s="196"/>
      <c r="O349" s="196"/>
      <c r="P349" s="196"/>
      <c r="Q349" s="196"/>
      <c r="R349" s="196"/>
      <c r="S349" s="196"/>
      <c r="T349" s="196"/>
      <c r="U349" s="196"/>
      <c r="V349" s="196"/>
      <c r="W349" s="196"/>
      <c r="X349" s="196"/>
      <c r="Y349" s="196"/>
      <c r="Z349" s="196"/>
      <c r="AA349" s="196"/>
      <c r="AB349" s="196"/>
      <c r="AC349" s="196"/>
      <c r="AD349" s="196"/>
      <c r="AE349" s="196"/>
      <c r="AF349" s="196"/>
      <c r="AG349" s="196"/>
      <c r="AH349" s="196"/>
      <c r="AI349" s="196"/>
      <c r="AJ349" s="196"/>
      <c r="AK349" s="196"/>
      <c r="AL349" s="196"/>
      <c r="AM349" s="196"/>
      <c r="AN349" s="196"/>
      <c r="AO349" s="196"/>
      <c r="AP349" s="196"/>
      <c r="AQ349" s="196"/>
      <c r="AR349" s="196"/>
      <c r="AS349" s="196"/>
    </row>
    <row r="350" spans="1:45" ht="15.75" customHeight="1">
      <c r="A350" s="196"/>
      <c r="B350" s="196"/>
      <c r="C350" s="88"/>
      <c r="D350" s="88"/>
      <c r="E350" s="88"/>
      <c r="F350" s="196"/>
      <c r="G350" s="196"/>
      <c r="H350" s="196"/>
      <c r="I350" s="196"/>
      <c r="J350" s="196"/>
      <c r="K350" s="196"/>
      <c r="L350" s="196"/>
      <c r="M350" s="196"/>
      <c r="N350" s="196"/>
      <c r="O350" s="196"/>
      <c r="P350" s="196"/>
      <c r="Q350" s="196"/>
      <c r="R350" s="196"/>
      <c r="S350" s="196"/>
      <c r="T350" s="196"/>
      <c r="U350" s="196"/>
      <c r="V350" s="196"/>
      <c r="W350" s="196"/>
      <c r="X350" s="196"/>
      <c r="Y350" s="196"/>
      <c r="Z350" s="196"/>
      <c r="AA350" s="196"/>
      <c r="AB350" s="196"/>
      <c r="AC350" s="196"/>
      <c r="AD350" s="196"/>
      <c r="AE350" s="196"/>
      <c r="AF350" s="196"/>
      <c r="AG350" s="196"/>
      <c r="AH350" s="196"/>
      <c r="AI350" s="196"/>
      <c r="AJ350" s="196"/>
      <c r="AK350" s="196"/>
      <c r="AL350" s="196"/>
      <c r="AM350" s="196"/>
      <c r="AN350" s="196"/>
      <c r="AO350" s="196"/>
      <c r="AP350" s="196"/>
      <c r="AQ350" s="196"/>
      <c r="AR350" s="196"/>
      <c r="AS350" s="196"/>
    </row>
    <row r="351" spans="1:45" ht="15.75" customHeight="1">
      <c r="A351" s="196"/>
      <c r="B351" s="196"/>
      <c r="C351" s="88"/>
      <c r="D351" s="88"/>
      <c r="E351" s="88"/>
      <c r="F351" s="196"/>
      <c r="G351" s="196"/>
      <c r="H351" s="196"/>
      <c r="I351" s="196"/>
      <c r="J351" s="196"/>
      <c r="K351" s="196"/>
      <c r="L351" s="196"/>
      <c r="M351" s="196"/>
      <c r="N351" s="196"/>
      <c r="O351" s="196"/>
      <c r="P351" s="196"/>
      <c r="Q351" s="196"/>
      <c r="R351" s="196"/>
      <c r="S351" s="196"/>
      <c r="T351" s="196"/>
      <c r="U351" s="196"/>
      <c r="V351" s="196"/>
      <c r="W351" s="196"/>
      <c r="X351" s="196"/>
      <c r="Y351" s="196"/>
      <c r="Z351" s="196"/>
      <c r="AA351" s="196"/>
      <c r="AB351" s="196"/>
      <c r="AC351" s="196"/>
      <c r="AD351" s="196"/>
      <c r="AE351" s="196"/>
      <c r="AF351" s="196"/>
      <c r="AG351" s="196"/>
      <c r="AH351" s="196"/>
      <c r="AI351" s="196"/>
      <c r="AJ351" s="196"/>
      <c r="AK351" s="196"/>
      <c r="AL351" s="196"/>
      <c r="AM351" s="196"/>
      <c r="AN351" s="196"/>
      <c r="AO351" s="196"/>
      <c r="AP351" s="196"/>
      <c r="AQ351" s="196"/>
      <c r="AR351" s="196"/>
      <c r="AS351" s="196"/>
    </row>
    <row r="352" spans="1:45" ht="15.75" customHeight="1">
      <c r="A352" s="196"/>
      <c r="B352" s="196"/>
      <c r="C352" s="88"/>
      <c r="D352" s="88"/>
      <c r="E352" s="88"/>
      <c r="F352" s="196"/>
      <c r="G352" s="196"/>
      <c r="H352" s="196"/>
      <c r="I352" s="196"/>
      <c r="J352" s="196"/>
      <c r="K352" s="196"/>
      <c r="L352" s="196"/>
      <c r="M352" s="196"/>
      <c r="N352" s="196"/>
      <c r="O352" s="196"/>
      <c r="P352" s="196"/>
      <c r="Q352" s="196"/>
      <c r="R352" s="196"/>
      <c r="S352" s="196"/>
      <c r="T352" s="196"/>
      <c r="U352" s="196"/>
      <c r="V352" s="196"/>
      <c r="W352" s="196"/>
      <c r="X352" s="196"/>
      <c r="Y352" s="196"/>
      <c r="Z352" s="196"/>
      <c r="AA352" s="196"/>
      <c r="AB352" s="196"/>
      <c r="AC352" s="196"/>
      <c r="AD352" s="196"/>
      <c r="AE352" s="196"/>
      <c r="AF352" s="196"/>
      <c r="AG352" s="196"/>
      <c r="AH352" s="196"/>
      <c r="AI352" s="196"/>
      <c r="AJ352" s="196"/>
      <c r="AK352" s="196"/>
      <c r="AL352" s="196"/>
      <c r="AM352" s="196"/>
      <c r="AN352" s="196"/>
      <c r="AO352" s="196"/>
      <c r="AP352" s="196"/>
      <c r="AQ352" s="196"/>
      <c r="AR352" s="196"/>
      <c r="AS352" s="196"/>
    </row>
    <row r="353" spans="1:45" ht="15.75" customHeight="1">
      <c r="A353" s="196"/>
      <c r="B353" s="196"/>
      <c r="C353" s="88"/>
      <c r="D353" s="88"/>
      <c r="E353" s="88"/>
      <c r="F353" s="196"/>
      <c r="G353" s="196"/>
      <c r="H353" s="196"/>
      <c r="I353" s="196"/>
      <c r="J353" s="196"/>
      <c r="K353" s="196"/>
      <c r="L353" s="196"/>
      <c r="M353" s="196"/>
      <c r="N353" s="196"/>
      <c r="O353" s="196"/>
      <c r="P353" s="196"/>
      <c r="Q353" s="196"/>
      <c r="R353" s="196"/>
      <c r="S353" s="196"/>
      <c r="T353" s="196"/>
      <c r="U353" s="196"/>
      <c r="V353" s="196"/>
      <c r="W353" s="196"/>
      <c r="X353" s="196"/>
      <c r="Y353" s="196"/>
      <c r="Z353" s="196"/>
      <c r="AA353" s="196"/>
      <c r="AB353" s="196"/>
      <c r="AC353" s="196"/>
      <c r="AD353" s="196"/>
      <c r="AE353" s="196"/>
      <c r="AF353" s="196"/>
      <c r="AG353" s="196"/>
      <c r="AH353" s="196"/>
      <c r="AI353" s="196"/>
      <c r="AJ353" s="196"/>
      <c r="AK353" s="196"/>
      <c r="AL353" s="196"/>
      <c r="AM353" s="196"/>
      <c r="AN353" s="196"/>
      <c r="AO353" s="196"/>
      <c r="AP353" s="196"/>
      <c r="AQ353" s="196"/>
      <c r="AR353" s="196"/>
      <c r="AS353" s="196"/>
    </row>
    <row r="354" spans="1:45" ht="15.75" customHeight="1">
      <c r="A354" s="196"/>
      <c r="B354" s="196"/>
      <c r="C354" s="88"/>
      <c r="D354" s="88"/>
      <c r="E354" s="88"/>
      <c r="F354" s="196"/>
      <c r="G354" s="196"/>
      <c r="H354" s="196"/>
      <c r="I354" s="196"/>
      <c r="J354" s="196"/>
      <c r="K354" s="196"/>
      <c r="L354" s="196"/>
      <c r="M354" s="196"/>
      <c r="N354" s="196"/>
      <c r="O354" s="196"/>
      <c r="P354" s="196"/>
      <c r="Q354" s="196"/>
      <c r="R354" s="196"/>
      <c r="S354" s="196"/>
      <c r="T354" s="196"/>
      <c r="U354" s="196"/>
      <c r="V354" s="196"/>
      <c r="W354" s="196"/>
      <c r="X354" s="196"/>
      <c r="Y354" s="196"/>
      <c r="Z354" s="196"/>
      <c r="AA354" s="196"/>
      <c r="AB354" s="196"/>
      <c r="AC354" s="196"/>
      <c r="AD354" s="196"/>
      <c r="AE354" s="196"/>
      <c r="AF354" s="196"/>
      <c r="AG354" s="196"/>
      <c r="AH354" s="196"/>
      <c r="AI354" s="196"/>
      <c r="AJ354" s="196"/>
      <c r="AK354" s="196"/>
      <c r="AL354" s="196"/>
      <c r="AM354" s="196"/>
      <c r="AN354" s="196"/>
      <c r="AO354" s="196"/>
      <c r="AP354" s="196"/>
      <c r="AQ354" s="196"/>
      <c r="AR354" s="196"/>
      <c r="AS354" s="196"/>
    </row>
    <row r="355" spans="1:45" ht="15.75" customHeight="1">
      <c r="A355" s="196"/>
      <c r="B355" s="196"/>
      <c r="C355" s="88"/>
      <c r="D355" s="88"/>
      <c r="E355" s="88"/>
      <c r="F355" s="196"/>
      <c r="G355" s="196"/>
      <c r="H355" s="196"/>
      <c r="I355" s="196"/>
      <c r="J355" s="196"/>
      <c r="K355" s="196"/>
      <c r="L355" s="196"/>
      <c r="M355" s="196"/>
      <c r="N355" s="196"/>
      <c r="O355" s="196"/>
      <c r="P355" s="196"/>
      <c r="Q355" s="196"/>
      <c r="R355" s="196"/>
      <c r="S355" s="196"/>
      <c r="T355" s="196"/>
      <c r="U355" s="196"/>
      <c r="V355" s="196"/>
      <c r="W355" s="196"/>
      <c r="X355" s="196"/>
      <c r="Y355" s="196"/>
      <c r="Z355" s="196"/>
      <c r="AA355" s="196"/>
      <c r="AB355" s="196"/>
      <c r="AC355" s="196"/>
      <c r="AD355" s="196"/>
      <c r="AE355" s="196"/>
      <c r="AF355" s="196"/>
      <c r="AG355" s="196"/>
      <c r="AH355" s="196"/>
      <c r="AI355" s="196"/>
      <c r="AJ355" s="196"/>
      <c r="AK355" s="196"/>
      <c r="AL355" s="196"/>
      <c r="AM355" s="196"/>
      <c r="AN355" s="196"/>
      <c r="AO355" s="196"/>
      <c r="AP355" s="196"/>
      <c r="AQ355" s="196"/>
      <c r="AR355" s="196"/>
      <c r="AS355" s="196"/>
    </row>
    <row r="356" spans="1:45" ht="15.75" customHeight="1">
      <c r="A356" s="196"/>
      <c r="B356" s="196"/>
      <c r="C356" s="88"/>
      <c r="D356" s="88"/>
      <c r="E356" s="88"/>
      <c r="F356" s="196"/>
      <c r="G356" s="196"/>
      <c r="H356" s="196"/>
      <c r="I356" s="196"/>
      <c r="J356" s="196"/>
      <c r="K356" s="196"/>
      <c r="L356" s="196"/>
      <c r="M356" s="196"/>
      <c r="N356" s="196"/>
      <c r="O356" s="196"/>
      <c r="P356" s="196"/>
      <c r="Q356" s="196"/>
      <c r="R356" s="196"/>
      <c r="S356" s="196"/>
      <c r="T356" s="196"/>
      <c r="U356" s="196"/>
      <c r="V356" s="196"/>
      <c r="W356" s="196"/>
      <c r="X356" s="196"/>
      <c r="Y356" s="196"/>
      <c r="Z356" s="196"/>
      <c r="AA356" s="196"/>
      <c r="AB356" s="196"/>
      <c r="AC356" s="196"/>
      <c r="AD356" s="196"/>
      <c r="AE356" s="196"/>
      <c r="AF356" s="196"/>
      <c r="AG356" s="196"/>
      <c r="AH356" s="196"/>
      <c r="AI356" s="196"/>
      <c r="AJ356" s="196"/>
      <c r="AK356" s="196"/>
      <c r="AL356" s="196"/>
      <c r="AM356" s="196"/>
      <c r="AN356" s="196"/>
      <c r="AO356" s="196"/>
      <c r="AP356" s="196"/>
      <c r="AQ356" s="196"/>
      <c r="AR356" s="196"/>
      <c r="AS356" s="196"/>
    </row>
    <row r="357" spans="1:45" ht="15.75" customHeight="1">
      <c r="A357" s="196"/>
      <c r="B357" s="196"/>
      <c r="C357" s="88"/>
      <c r="D357" s="88"/>
      <c r="E357" s="88"/>
      <c r="F357" s="196"/>
      <c r="G357" s="196"/>
      <c r="H357" s="196"/>
      <c r="I357" s="196"/>
      <c r="J357" s="196"/>
      <c r="K357" s="196"/>
      <c r="L357" s="196"/>
      <c r="M357" s="196"/>
      <c r="N357" s="196"/>
      <c r="O357" s="196"/>
      <c r="P357" s="196"/>
      <c r="Q357" s="196"/>
      <c r="R357" s="196"/>
      <c r="S357" s="196"/>
      <c r="T357" s="196"/>
      <c r="U357" s="196"/>
      <c r="V357" s="196"/>
      <c r="W357" s="196"/>
      <c r="X357" s="196"/>
      <c r="Y357" s="196"/>
      <c r="Z357" s="196"/>
      <c r="AA357" s="196"/>
      <c r="AB357" s="196"/>
      <c r="AC357" s="196"/>
      <c r="AD357" s="196"/>
      <c r="AE357" s="196"/>
      <c r="AF357" s="196"/>
      <c r="AG357" s="196"/>
      <c r="AH357" s="196"/>
      <c r="AI357" s="196"/>
      <c r="AJ357" s="196"/>
      <c r="AK357" s="196"/>
      <c r="AL357" s="196"/>
      <c r="AM357" s="196"/>
      <c r="AN357" s="196"/>
      <c r="AO357" s="196"/>
      <c r="AP357" s="196"/>
      <c r="AQ357" s="196"/>
      <c r="AR357" s="196"/>
      <c r="AS357" s="196"/>
    </row>
    <row r="358" spans="1:45" ht="15.75" customHeight="1">
      <c r="A358" s="196"/>
      <c r="B358" s="196"/>
      <c r="C358" s="88"/>
      <c r="D358" s="88"/>
      <c r="E358" s="88"/>
      <c r="F358" s="196"/>
      <c r="G358" s="196"/>
      <c r="H358" s="196"/>
      <c r="I358" s="196"/>
      <c r="J358" s="196"/>
      <c r="K358" s="196"/>
      <c r="L358" s="196"/>
      <c r="M358" s="196"/>
      <c r="N358" s="196"/>
      <c r="O358" s="196"/>
      <c r="P358" s="196"/>
      <c r="Q358" s="196"/>
      <c r="R358" s="196"/>
      <c r="S358" s="196"/>
      <c r="T358" s="196"/>
      <c r="U358" s="196"/>
      <c r="V358" s="196"/>
      <c r="W358" s="196"/>
      <c r="X358" s="196"/>
      <c r="Y358" s="196"/>
      <c r="Z358" s="196"/>
      <c r="AA358" s="196"/>
      <c r="AB358" s="196"/>
      <c r="AC358" s="196"/>
      <c r="AD358" s="196"/>
      <c r="AE358" s="196"/>
      <c r="AF358" s="196"/>
      <c r="AG358" s="196"/>
      <c r="AH358" s="196"/>
      <c r="AI358" s="196"/>
      <c r="AJ358" s="196"/>
      <c r="AK358" s="196"/>
      <c r="AL358" s="196"/>
      <c r="AM358" s="196"/>
      <c r="AN358" s="196"/>
      <c r="AO358" s="196"/>
      <c r="AP358" s="196"/>
      <c r="AQ358" s="196"/>
      <c r="AR358" s="196"/>
      <c r="AS358" s="196"/>
    </row>
    <row r="359" spans="1:45" ht="15.75" customHeight="1">
      <c r="A359" s="196"/>
      <c r="B359" s="196"/>
      <c r="C359" s="88"/>
      <c r="D359" s="88"/>
      <c r="E359" s="88"/>
      <c r="F359" s="196"/>
      <c r="G359" s="196"/>
      <c r="H359" s="196"/>
      <c r="I359" s="196"/>
      <c r="J359" s="196"/>
      <c r="K359" s="196"/>
      <c r="L359" s="196"/>
      <c r="M359" s="196"/>
      <c r="N359" s="196"/>
      <c r="O359" s="196"/>
      <c r="P359" s="196"/>
      <c r="Q359" s="196"/>
      <c r="R359" s="196"/>
      <c r="S359" s="196"/>
      <c r="T359" s="196"/>
      <c r="U359" s="196"/>
      <c r="V359" s="196"/>
      <c r="W359" s="196"/>
      <c r="X359" s="196"/>
      <c r="Y359" s="196"/>
      <c r="Z359" s="196"/>
      <c r="AA359" s="196"/>
      <c r="AB359" s="196"/>
      <c r="AC359" s="196"/>
      <c r="AD359" s="196"/>
      <c r="AE359" s="196"/>
      <c r="AF359" s="196"/>
      <c r="AG359" s="196"/>
      <c r="AH359" s="196"/>
      <c r="AI359" s="196"/>
      <c r="AJ359" s="196"/>
      <c r="AK359" s="196"/>
      <c r="AL359" s="196"/>
      <c r="AM359" s="196"/>
      <c r="AN359" s="196"/>
      <c r="AO359" s="196"/>
      <c r="AP359" s="196"/>
      <c r="AQ359" s="196"/>
      <c r="AR359" s="196"/>
      <c r="AS359" s="196"/>
    </row>
    <row r="360" spans="1:45" ht="15.75" customHeight="1">
      <c r="A360" s="196"/>
      <c r="B360" s="196"/>
      <c r="C360" s="88"/>
      <c r="D360" s="88"/>
      <c r="E360" s="88"/>
      <c r="F360" s="196"/>
      <c r="G360" s="196"/>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D360" s="196"/>
      <c r="AE360" s="196"/>
      <c r="AF360" s="196"/>
      <c r="AG360" s="196"/>
      <c r="AH360" s="196"/>
      <c r="AI360" s="196"/>
      <c r="AJ360" s="196"/>
      <c r="AK360" s="196"/>
      <c r="AL360" s="196"/>
      <c r="AM360" s="196"/>
      <c r="AN360" s="196"/>
      <c r="AO360" s="196"/>
      <c r="AP360" s="196"/>
      <c r="AQ360" s="196"/>
      <c r="AR360" s="196"/>
      <c r="AS360" s="196"/>
    </row>
    <row r="361" spans="1:45" ht="15.75" customHeight="1">
      <c r="A361" s="196"/>
      <c r="B361" s="196"/>
      <c r="C361" s="88"/>
      <c r="D361" s="88"/>
      <c r="E361" s="88"/>
      <c r="F361" s="196"/>
      <c r="G361" s="196"/>
      <c r="H361" s="196"/>
      <c r="I361" s="196"/>
      <c r="J361" s="196"/>
      <c r="K361" s="196"/>
      <c r="L361" s="196"/>
      <c r="M361" s="196"/>
      <c r="N361" s="196"/>
      <c r="O361" s="196"/>
      <c r="P361" s="196"/>
      <c r="Q361" s="196"/>
      <c r="R361" s="196"/>
      <c r="S361" s="196"/>
      <c r="T361" s="196"/>
      <c r="U361" s="196"/>
      <c r="V361" s="196"/>
      <c r="W361" s="196"/>
      <c r="X361" s="196"/>
      <c r="Y361" s="196"/>
      <c r="Z361" s="196"/>
      <c r="AA361" s="196"/>
      <c r="AB361" s="196"/>
      <c r="AC361" s="196"/>
      <c r="AD361" s="196"/>
      <c r="AE361" s="196"/>
      <c r="AF361" s="196"/>
      <c r="AG361" s="196"/>
      <c r="AH361" s="196"/>
      <c r="AI361" s="196"/>
      <c r="AJ361" s="196"/>
      <c r="AK361" s="196"/>
      <c r="AL361" s="196"/>
      <c r="AM361" s="196"/>
      <c r="AN361" s="196"/>
      <c r="AO361" s="196"/>
      <c r="AP361" s="196"/>
      <c r="AQ361" s="196"/>
      <c r="AR361" s="196"/>
      <c r="AS361" s="196"/>
    </row>
    <row r="362" spans="1:45" ht="15.75" customHeight="1">
      <c r="A362" s="196"/>
      <c r="B362" s="196"/>
      <c r="C362" s="88"/>
      <c r="D362" s="88"/>
      <c r="E362" s="88"/>
      <c r="F362" s="196"/>
      <c r="G362" s="196"/>
      <c r="H362" s="196"/>
      <c r="I362" s="196"/>
      <c r="J362" s="196"/>
      <c r="K362" s="196"/>
      <c r="L362" s="196"/>
      <c r="M362" s="196"/>
      <c r="N362" s="196"/>
      <c r="O362" s="196"/>
      <c r="P362" s="196"/>
      <c r="Q362" s="196"/>
      <c r="R362" s="196"/>
      <c r="S362" s="196"/>
      <c r="T362" s="196"/>
      <c r="U362" s="196"/>
      <c r="V362" s="196"/>
      <c r="W362" s="196"/>
      <c r="X362" s="196"/>
      <c r="Y362" s="196"/>
      <c r="Z362" s="196"/>
      <c r="AA362" s="196"/>
      <c r="AB362" s="196"/>
      <c r="AC362" s="196"/>
      <c r="AD362" s="196"/>
      <c r="AE362" s="196"/>
      <c r="AF362" s="196"/>
      <c r="AG362" s="196"/>
      <c r="AH362" s="196"/>
      <c r="AI362" s="196"/>
      <c r="AJ362" s="196"/>
      <c r="AK362" s="196"/>
      <c r="AL362" s="196"/>
      <c r="AM362" s="196"/>
      <c r="AN362" s="196"/>
      <c r="AO362" s="196"/>
      <c r="AP362" s="196"/>
      <c r="AQ362" s="196"/>
      <c r="AR362" s="196"/>
      <c r="AS362" s="196"/>
    </row>
    <row r="363" spans="1:45" ht="15.75" customHeight="1">
      <c r="A363" s="196"/>
      <c r="B363" s="196"/>
      <c r="C363" s="88"/>
      <c r="D363" s="88"/>
      <c r="E363" s="88"/>
      <c r="F363" s="196"/>
      <c r="G363" s="196"/>
      <c r="H363" s="196"/>
      <c r="I363" s="196"/>
      <c r="J363" s="196"/>
      <c r="K363" s="196"/>
      <c r="L363" s="196"/>
      <c r="M363" s="196"/>
      <c r="N363" s="196"/>
      <c r="O363" s="196"/>
      <c r="P363" s="196"/>
      <c r="Q363" s="196"/>
      <c r="R363" s="196"/>
      <c r="S363" s="196"/>
      <c r="T363" s="196"/>
      <c r="U363" s="196"/>
      <c r="V363" s="196"/>
      <c r="W363" s="196"/>
      <c r="X363" s="196"/>
      <c r="Y363" s="196"/>
      <c r="Z363" s="196"/>
      <c r="AA363" s="196"/>
      <c r="AB363" s="196"/>
      <c r="AC363" s="196"/>
      <c r="AD363" s="196"/>
      <c r="AE363" s="196"/>
      <c r="AF363" s="196"/>
      <c r="AG363" s="196"/>
      <c r="AH363" s="196"/>
      <c r="AI363" s="196"/>
      <c r="AJ363" s="196"/>
      <c r="AK363" s="196"/>
      <c r="AL363" s="196"/>
      <c r="AM363" s="196"/>
      <c r="AN363" s="196"/>
      <c r="AO363" s="196"/>
      <c r="AP363" s="196"/>
      <c r="AQ363" s="196"/>
      <c r="AR363" s="196"/>
      <c r="AS363" s="196"/>
    </row>
    <row r="364" spans="1:45" ht="15.75" customHeight="1">
      <c r="A364" s="196"/>
      <c r="B364" s="196"/>
      <c r="C364" s="88"/>
      <c r="D364" s="88"/>
      <c r="E364" s="88"/>
      <c r="F364" s="196"/>
      <c r="G364" s="196"/>
      <c r="H364" s="196"/>
      <c r="I364" s="196"/>
      <c r="J364" s="196"/>
      <c r="K364" s="196"/>
      <c r="L364" s="196"/>
      <c r="M364" s="196"/>
      <c r="N364" s="196"/>
      <c r="O364" s="196"/>
      <c r="P364" s="196"/>
      <c r="Q364" s="196"/>
      <c r="R364" s="196"/>
      <c r="S364" s="196"/>
      <c r="T364" s="196"/>
      <c r="U364" s="196"/>
      <c r="V364" s="196"/>
      <c r="W364" s="196"/>
      <c r="X364" s="196"/>
      <c r="Y364" s="196"/>
      <c r="Z364" s="196"/>
      <c r="AA364" s="196"/>
      <c r="AB364" s="196"/>
      <c r="AC364" s="196"/>
      <c r="AD364" s="196"/>
      <c r="AE364" s="196"/>
      <c r="AF364" s="196"/>
      <c r="AG364" s="196"/>
      <c r="AH364" s="196"/>
      <c r="AI364" s="196"/>
      <c r="AJ364" s="196"/>
      <c r="AK364" s="196"/>
      <c r="AL364" s="196"/>
      <c r="AM364" s="196"/>
      <c r="AN364" s="196"/>
      <c r="AO364" s="196"/>
      <c r="AP364" s="196"/>
      <c r="AQ364" s="196"/>
      <c r="AR364" s="196"/>
      <c r="AS364" s="196"/>
    </row>
    <row r="365" spans="1:45" ht="15.75" customHeight="1">
      <c r="A365" s="196"/>
      <c r="B365" s="196"/>
      <c r="C365" s="88"/>
      <c r="D365" s="88"/>
      <c r="E365" s="88"/>
      <c r="F365" s="196"/>
      <c r="G365" s="196"/>
      <c r="H365" s="196"/>
      <c r="I365" s="196"/>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c r="AN365" s="196"/>
      <c r="AO365" s="196"/>
      <c r="AP365" s="196"/>
      <c r="AQ365" s="196"/>
      <c r="AR365" s="196"/>
      <c r="AS365" s="196"/>
    </row>
    <row r="366" spans="1:45" ht="15.75" customHeight="1">
      <c r="A366" s="196"/>
      <c r="B366" s="196"/>
      <c r="C366" s="88"/>
      <c r="D366" s="88"/>
      <c r="E366" s="88"/>
      <c r="F366" s="196"/>
      <c r="G366" s="196"/>
      <c r="H366" s="196"/>
      <c r="I366" s="196"/>
      <c r="J366" s="196"/>
      <c r="K366" s="196"/>
      <c r="L366" s="196"/>
      <c r="M366" s="196"/>
      <c r="N366" s="196"/>
      <c r="O366" s="196"/>
      <c r="P366" s="196"/>
      <c r="Q366" s="196"/>
      <c r="R366" s="196"/>
      <c r="S366" s="196"/>
      <c r="T366" s="196"/>
      <c r="U366" s="196"/>
      <c r="V366" s="196"/>
      <c r="W366" s="196"/>
      <c r="X366" s="196"/>
      <c r="Y366" s="196"/>
      <c r="Z366" s="196"/>
      <c r="AA366" s="196"/>
      <c r="AB366" s="196"/>
      <c r="AC366" s="196"/>
      <c r="AD366" s="196"/>
      <c r="AE366" s="196"/>
      <c r="AF366" s="196"/>
      <c r="AG366" s="196"/>
      <c r="AH366" s="196"/>
      <c r="AI366" s="196"/>
      <c r="AJ366" s="196"/>
      <c r="AK366" s="196"/>
      <c r="AL366" s="196"/>
      <c r="AM366" s="196"/>
      <c r="AN366" s="196"/>
      <c r="AO366" s="196"/>
      <c r="AP366" s="196"/>
      <c r="AQ366" s="196"/>
      <c r="AR366" s="196"/>
      <c r="AS366" s="196"/>
    </row>
    <row r="367" spans="1:45" ht="15.75" customHeight="1">
      <c r="A367" s="196"/>
      <c r="B367" s="196"/>
      <c r="C367" s="88"/>
      <c r="D367" s="88"/>
      <c r="E367" s="88"/>
      <c r="F367" s="196"/>
      <c r="G367" s="196"/>
      <c r="H367" s="196"/>
      <c r="I367" s="196"/>
      <c r="J367" s="196"/>
      <c r="K367" s="196"/>
      <c r="L367" s="196"/>
      <c r="M367" s="196"/>
      <c r="N367" s="196"/>
      <c r="O367" s="196"/>
      <c r="P367" s="196"/>
      <c r="Q367" s="196"/>
      <c r="R367" s="196"/>
      <c r="S367" s="196"/>
      <c r="T367" s="196"/>
      <c r="U367" s="196"/>
      <c r="V367" s="196"/>
      <c r="W367" s="196"/>
      <c r="X367" s="196"/>
      <c r="Y367" s="196"/>
      <c r="Z367" s="196"/>
      <c r="AA367" s="196"/>
      <c r="AB367" s="196"/>
      <c r="AC367" s="196"/>
      <c r="AD367" s="196"/>
      <c r="AE367" s="196"/>
      <c r="AF367" s="196"/>
      <c r="AG367" s="196"/>
      <c r="AH367" s="196"/>
      <c r="AI367" s="196"/>
      <c r="AJ367" s="196"/>
      <c r="AK367" s="196"/>
      <c r="AL367" s="196"/>
      <c r="AM367" s="196"/>
      <c r="AN367" s="196"/>
      <c r="AO367" s="196"/>
      <c r="AP367" s="196"/>
      <c r="AQ367" s="196"/>
      <c r="AR367" s="196"/>
      <c r="AS367" s="196"/>
    </row>
    <row r="368" spans="1:45" ht="15.75" customHeight="1">
      <c r="A368" s="196"/>
      <c r="B368" s="196"/>
      <c r="C368" s="88"/>
      <c r="D368" s="88"/>
      <c r="E368" s="88"/>
      <c r="F368" s="196"/>
      <c r="G368" s="196"/>
      <c r="H368" s="196"/>
      <c r="I368" s="196"/>
      <c r="J368" s="196"/>
      <c r="K368" s="196"/>
      <c r="L368" s="196"/>
      <c r="M368" s="196"/>
      <c r="N368" s="196"/>
      <c r="O368" s="196"/>
      <c r="P368" s="196"/>
      <c r="Q368" s="196"/>
      <c r="R368" s="196"/>
      <c r="S368" s="196"/>
      <c r="T368" s="196"/>
      <c r="U368" s="196"/>
      <c r="V368" s="196"/>
      <c r="W368" s="196"/>
      <c r="X368" s="196"/>
      <c r="Y368" s="196"/>
      <c r="Z368" s="196"/>
      <c r="AA368" s="196"/>
      <c r="AB368" s="196"/>
      <c r="AC368" s="196"/>
      <c r="AD368" s="196"/>
      <c r="AE368" s="196"/>
      <c r="AF368" s="196"/>
      <c r="AG368" s="196"/>
      <c r="AH368" s="196"/>
      <c r="AI368" s="196"/>
      <c r="AJ368" s="196"/>
      <c r="AK368" s="196"/>
      <c r="AL368" s="196"/>
      <c r="AM368" s="196"/>
      <c r="AN368" s="196"/>
      <c r="AO368" s="196"/>
      <c r="AP368" s="196"/>
      <c r="AQ368" s="196"/>
      <c r="AR368" s="196"/>
      <c r="AS368" s="196"/>
    </row>
    <row r="369" spans="1:45" ht="15.75" customHeight="1">
      <c r="A369" s="196"/>
      <c r="B369" s="196"/>
      <c r="C369" s="88"/>
      <c r="D369" s="88"/>
      <c r="E369" s="88"/>
      <c r="F369" s="196"/>
      <c r="G369" s="196"/>
      <c r="H369" s="196"/>
      <c r="I369" s="196"/>
      <c r="J369" s="196"/>
      <c r="K369" s="196"/>
      <c r="L369" s="196"/>
      <c r="M369" s="196"/>
      <c r="N369" s="196"/>
      <c r="O369" s="196"/>
      <c r="P369" s="196"/>
      <c r="Q369" s="196"/>
      <c r="R369" s="196"/>
      <c r="S369" s="196"/>
      <c r="T369" s="196"/>
      <c r="U369" s="196"/>
      <c r="V369" s="196"/>
      <c r="W369" s="196"/>
      <c r="X369" s="196"/>
      <c r="Y369" s="196"/>
      <c r="Z369" s="196"/>
      <c r="AA369" s="196"/>
      <c r="AB369" s="196"/>
      <c r="AC369" s="196"/>
      <c r="AD369" s="196"/>
      <c r="AE369" s="196"/>
      <c r="AF369" s="196"/>
      <c r="AG369" s="196"/>
      <c r="AH369" s="196"/>
      <c r="AI369" s="196"/>
      <c r="AJ369" s="196"/>
      <c r="AK369" s="196"/>
      <c r="AL369" s="196"/>
      <c r="AM369" s="196"/>
      <c r="AN369" s="196"/>
      <c r="AO369" s="196"/>
      <c r="AP369" s="196"/>
      <c r="AQ369" s="196"/>
      <c r="AR369" s="196"/>
      <c r="AS369" s="196"/>
    </row>
    <row r="370" spans="1:45" ht="15.75" customHeight="1">
      <c r="A370" s="196"/>
      <c r="B370" s="196"/>
      <c r="C370" s="88"/>
      <c r="D370" s="88"/>
      <c r="E370" s="88"/>
      <c r="F370" s="196"/>
      <c r="G370" s="196"/>
      <c r="H370" s="196"/>
      <c r="I370" s="196"/>
      <c r="J370" s="196"/>
      <c r="K370" s="196"/>
      <c r="L370" s="196"/>
      <c r="M370" s="196"/>
      <c r="N370" s="196"/>
      <c r="O370" s="196"/>
      <c r="P370" s="196"/>
      <c r="Q370" s="196"/>
      <c r="R370" s="196"/>
      <c r="S370" s="196"/>
      <c r="T370" s="196"/>
      <c r="U370" s="196"/>
      <c r="V370" s="196"/>
      <c r="W370" s="196"/>
      <c r="X370" s="196"/>
      <c r="Y370" s="196"/>
      <c r="Z370" s="196"/>
      <c r="AA370" s="196"/>
      <c r="AB370" s="196"/>
      <c r="AC370" s="196"/>
      <c r="AD370" s="196"/>
      <c r="AE370" s="196"/>
      <c r="AF370" s="196"/>
      <c r="AG370" s="196"/>
      <c r="AH370" s="196"/>
      <c r="AI370" s="196"/>
      <c r="AJ370" s="196"/>
      <c r="AK370" s="196"/>
      <c r="AL370" s="196"/>
      <c r="AM370" s="196"/>
      <c r="AN370" s="196"/>
      <c r="AO370" s="196"/>
      <c r="AP370" s="196"/>
      <c r="AQ370" s="196"/>
      <c r="AR370" s="196"/>
      <c r="AS370" s="196"/>
    </row>
    <row r="371" spans="1:45" ht="15.75" customHeight="1">
      <c r="A371" s="196"/>
      <c r="B371" s="196"/>
      <c r="C371" s="88"/>
      <c r="D371" s="88"/>
      <c r="E371" s="88"/>
      <c r="F371" s="196"/>
      <c r="G371" s="196"/>
      <c r="H371" s="196"/>
      <c r="I371" s="196"/>
      <c r="J371" s="196"/>
      <c r="K371" s="196"/>
      <c r="L371" s="196"/>
      <c r="M371" s="196"/>
      <c r="N371" s="196"/>
      <c r="O371" s="196"/>
      <c r="P371" s="196"/>
      <c r="Q371" s="196"/>
      <c r="R371" s="196"/>
      <c r="S371" s="196"/>
      <c r="T371" s="196"/>
      <c r="U371" s="196"/>
      <c r="V371" s="196"/>
      <c r="W371" s="196"/>
      <c r="X371" s="196"/>
      <c r="Y371" s="196"/>
      <c r="Z371" s="196"/>
      <c r="AA371" s="196"/>
      <c r="AB371" s="196"/>
      <c r="AC371" s="196"/>
      <c r="AD371" s="196"/>
      <c r="AE371" s="196"/>
      <c r="AF371" s="196"/>
      <c r="AG371" s="196"/>
      <c r="AH371" s="196"/>
      <c r="AI371" s="196"/>
      <c r="AJ371" s="196"/>
      <c r="AK371" s="196"/>
      <c r="AL371" s="196"/>
      <c r="AM371" s="196"/>
      <c r="AN371" s="196"/>
      <c r="AO371" s="196"/>
      <c r="AP371" s="196"/>
      <c r="AQ371" s="196"/>
      <c r="AR371" s="196"/>
      <c r="AS371" s="196"/>
    </row>
    <row r="372" spans="1:45" ht="15.75" customHeight="1">
      <c r="A372" s="196"/>
      <c r="B372" s="196"/>
      <c r="C372" s="88"/>
      <c r="D372" s="88"/>
      <c r="E372" s="88"/>
      <c r="F372" s="196"/>
      <c r="G372" s="196"/>
      <c r="H372" s="196"/>
      <c r="I372" s="196"/>
      <c r="J372" s="196"/>
      <c r="K372" s="196"/>
      <c r="L372" s="196"/>
      <c r="M372" s="196"/>
      <c r="N372" s="196"/>
      <c r="O372" s="196"/>
      <c r="P372" s="196"/>
      <c r="Q372" s="196"/>
      <c r="R372" s="196"/>
      <c r="S372" s="196"/>
      <c r="T372" s="196"/>
      <c r="U372" s="196"/>
      <c r="V372" s="196"/>
      <c r="W372" s="196"/>
      <c r="X372" s="196"/>
      <c r="Y372" s="196"/>
      <c r="Z372" s="196"/>
      <c r="AA372" s="196"/>
      <c r="AB372" s="196"/>
      <c r="AC372" s="196"/>
      <c r="AD372" s="196"/>
      <c r="AE372" s="196"/>
      <c r="AF372" s="196"/>
      <c r="AG372" s="196"/>
      <c r="AH372" s="196"/>
      <c r="AI372" s="196"/>
      <c r="AJ372" s="196"/>
      <c r="AK372" s="196"/>
      <c r="AL372" s="196"/>
      <c r="AM372" s="196"/>
      <c r="AN372" s="196"/>
      <c r="AO372" s="196"/>
      <c r="AP372" s="196"/>
      <c r="AQ372" s="196"/>
      <c r="AR372" s="196"/>
      <c r="AS372" s="196"/>
    </row>
    <row r="373" spans="1:45" ht="15.75" customHeight="1">
      <c r="A373" s="196"/>
      <c r="B373" s="196"/>
      <c r="C373" s="88"/>
      <c r="D373" s="88"/>
      <c r="E373" s="88"/>
      <c r="F373" s="196"/>
      <c r="G373" s="196"/>
      <c r="H373" s="196"/>
      <c r="I373" s="196"/>
      <c r="J373" s="196"/>
      <c r="K373" s="196"/>
      <c r="L373" s="196"/>
      <c r="M373" s="196"/>
      <c r="N373" s="196"/>
      <c r="O373" s="196"/>
      <c r="P373" s="196"/>
      <c r="Q373" s="196"/>
      <c r="R373" s="196"/>
      <c r="S373" s="196"/>
      <c r="T373" s="196"/>
      <c r="U373" s="196"/>
      <c r="V373" s="196"/>
      <c r="W373" s="196"/>
      <c r="X373" s="196"/>
      <c r="Y373" s="196"/>
      <c r="Z373" s="196"/>
      <c r="AA373" s="196"/>
      <c r="AB373" s="196"/>
      <c r="AC373" s="196"/>
      <c r="AD373" s="196"/>
      <c r="AE373" s="196"/>
      <c r="AF373" s="196"/>
      <c r="AG373" s="196"/>
      <c r="AH373" s="196"/>
      <c r="AI373" s="196"/>
      <c r="AJ373" s="196"/>
      <c r="AK373" s="196"/>
      <c r="AL373" s="196"/>
      <c r="AM373" s="196"/>
      <c r="AN373" s="196"/>
      <c r="AO373" s="196"/>
      <c r="AP373" s="196"/>
      <c r="AQ373" s="196"/>
      <c r="AR373" s="196"/>
      <c r="AS373" s="196"/>
    </row>
    <row r="374" spans="1:45" ht="15.75" customHeight="1">
      <c r="A374" s="196"/>
      <c r="B374" s="196"/>
      <c r="C374" s="88"/>
      <c r="D374" s="88"/>
      <c r="E374" s="88"/>
      <c r="F374" s="196"/>
      <c r="G374" s="196"/>
      <c r="H374" s="196"/>
      <c r="I374" s="196"/>
      <c r="J374" s="196"/>
      <c r="K374" s="196"/>
      <c r="L374" s="196"/>
      <c r="M374" s="196"/>
      <c r="N374" s="196"/>
      <c r="O374" s="196"/>
      <c r="P374" s="196"/>
      <c r="Q374" s="196"/>
      <c r="R374" s="196"/>
      <c r="S374" s="196"/>
      <c r="T374" s="196"/>
      <c r="U374" s="196"/>
      <c r="V374" s="196"/>
      <c r="W374" s="196"/>
      <c r="X374" s="196"/>
      <c r="Y374" s="196"/>
      <c r="Z374" s="196"/>
      <c r="AA374" s="196"/>
      <c r="AB374" s="196"/>
      <c r="AC374" s="196"/>
      <c r="AD374" s="196"/>
      <c r="AE374" s="196"/>
      <c r="AF374" s="196"/>
      <c r="AG374" s="196"/>
      <c r="AH374" s="196"/>
      <c r="AI374" s="196"/>
      <c r="AJ374" s="196"/>
      <c r="AK374" s="196"/>
      <c r="AL374" s="196"/>
      <c r="AM374" s="196"/>
      <c r="AN374" s="196"/>
      <c r="AO374" s="196"/>
      <c r="AP374" s="196"/>
      <c r="AQ374" s="196"/>
      <c r="AR374" s="196"/>
      <c r="AS374" s="196"/>
    </row>
    <row r="375" spans="1:45" ht="15.75" customHeight="1">
      <c r="A375" s="196"/>
      <c r="B375" s="196"/>
      <c r="C375" s="88"/>
      <c r="D375" s="88"/>
      <c r="E375" s="88"/>
      <c r="F375" s="196"/>
      <c r="G375" s="196"/>
      <c r="H375" s="196"/>
      <c r="I375" s="196"/>
      <c r="J375" s="196"/>
      <c r="K375" s="196"/>
      <c r="L375" s="196"/>
      <c r="M375" s="196"/>
      <c r="N375" s="196"/>
      <c r="O375" s="196"/>
      <c r="P375" s="196"/>
      <c r="Q375" s="196"/>
      <c r="R375" s="196"/>
      <c r="S375" s="196"/>
      <c r="T375" s="196"/>
      <c r="U375" s="196"/>
      <c r="V375" s="196"/>
      <c r="W375" s="196"/>
      <c r="X375" s="196"/>
      <c r="Y375" s="196"/>
      <c r="Z375" s="196"/>
      <c r="AA375" s="196"/>
      <c r="AB375" s="196"/>
      <c r="AC375" s="196"/>
      <c r="AD375" s="196"/>
      <c r="AE375" s="196"/>
      <c r="AF375" s="196"/>
      <c r="AG375" s="196"/>
      <c r="AH375" s="196"/>
      <c r="AI375" s="196"/>
      <c r="AJ375" s="196"/>
      <c r="AK375" s="196"/>
      <c r="AL375" s="196"/>
      <c r="AM375" s="196"/>
      <c r="AN375" s="196"/>
      <c r="AO375" s="196"/>
      <c r="AP375" s="196"/>
      <c r="AQ375" s="196"/>
      <c r="AR375" s="196"/>
      <c r="AS375" s="196"/>
    </row>
    <row r="376" spans="1:45" ht="15.75" customHeight="1">
      <c r="A376" s="196"/>
      <c r="B376" s="196"/>
      <c r="C376" s="88"/>
      <c r="D376" s="88"/>
      <c r="E376" s="88"/>
      <c r="F376" s="196"/>
      <c r="G376" s="196"/>
      <c r="H376" s="196"/>
      <c r="I376" s="196"/>
      <c r="J376" s="196"/>
      <c r="K376" s="196"/>
      <c r="L376" s="196"/>
      <c r="M376" s="196"/>
      <c r="N376" s="196"/>
      <c r="O376" s="196"/>
      <c r="P376" s="196"/>
      <c r="Q376" s="196"/>
      <c r="R376" s="196"/>
      <c r="S376" s="196"/>
      <c r="T376" s="196"/>
      <c r="U376" s="196"/>
      <c r="V376" s="196"/>
      <c r="W376" s="196"/>
      <c r="X376" s="196"/>
      <c r="Y376" s="196"/>
      <c r="Z376" s="196"/>
      <c r="AA376" s="196"/>
      <c r="AB376" s="196"/>
      <c r="AC376" s="196"/>
      <c r="AD376" s="196"/>
      <c r="AE376" s="196"/>
      <c r="AF376" s="196"/>
      <c r="AG376" s="196"/>
      <c r="AH376" s="196"/>
      <c r="AI376" s="196"/>
      <c r="AJ376" s="196"/>
      <c r="AK376" s="196"/>
      <c r="AL376" s="196"/>
      <c r="AM376" s="196"/>
      <c r="AN376" s="196"/>
      <c r="AO376" s="196"/>
      <c r="AP376" s="196"/>
      <c r="AQ376" s="196"/>
      <c r="AR376" s="196"/>
      <c r="AS376" s="196"/>
    </row>
    <row r="377" spans="1:45" ht="15.75" customHeight="1">
      <c r="A377" s="196"/>
      <c r="B377" s="196"/>
      <c r="C377" s="88"/>
      <c r="D377" s="88"/>
      <c r="E377" s="88"/>
      <c r="F377" s="196"/>
      <c r="G377" s="196"/>
      <c r="H377" s="196"/>
      <c r="I377" s="196"/>
      <c r="J377" s="196"/>
      <c r="K377" s="196"/>
      <c r="L377" s="196"/>
      <c r="M377" s="196"/>
      <c r="N377" s="196"/>
      <c r="O377" s="196"/>
      <c r="P377" s="196"/>
      <c r="Q377" s="196"/>
      <c r="R377" s="196"/>
      <c r="S377" s="196"/>
      <c r="T377" s="196"/>
      <c r="U377" s="196"/>
      <c r="V377" s="196"/>
      <c r="W377" s="196"/>
      <c r="X377" s="196"/>
      <c r="Y377" s="196"/>
      <c r="Z377" s="196"/>
      <c r="AA377" s="196"/>
      <c r="AB377" s="196"/>
      <c r="AC377" s="196"/>
      <c r="AD377" s="196"/>
      <c r="AE377" s="196"/>
      <c r="AF377" s="196"/>
      <c r="AG377" s="196"/>
      <c r="AH377" s="196"/>
      <c r="AI377" s="196"/>
      <c r="AJ377" s="196"/>
      <c r="AK377" s="196"/>
      <c r="AL377" s="196"/>
      <c r="AM377" s="196"/>
      <c r="AN377" s="196"/>
      <c r="AO377" s="196"/>
      <c r="AP377" s="196"/>
      <c r="AQ377" s="196"/>
      <c r="AR377" s="196"/>
      <c r="AS377" s="196"/>
    </row>
    <row r="378" spans="1:45" ht="15.75" customHeight="1">
      <c r="A378" s="196"/>
      <c r="B378" s="196"/>
      <c r="C378" s="88"/>
      <c r="D378" s="88"/>
      <c r="E378" s="88"/>
      <c r="F378" s="196"/>
      <c r="G378" s="196"/>
      <c r="H378" s="196"/>
      <c r="I378" s="196"/>
      <c r="J378" s="196"/>
      <c r="K378" s="196"/>
      <c r="L378" s="196"/>
      <c r="M378" s="196"/>
      <c r="N378" s="196"/>
      <c r="O378" s="196"/>
      <c r="P378" s="196"/>
      <c r="Q378" s="196"/>
      <c r="R378" s="196"/>
      <c r="S378" s="196"/>
      <c r="T378" s="196"/>
      <c r="U378" s="196"/>
      <c r="V378" s="196"/>
      <c r="W378" s="196"/>
      <c r="X378" s="196"/>
      <c r="Y378" s="196"/>
      <c r="Z378" s="196"/>
      <c r="AA378" s="196"/>
      <c r="AB378" s="196"/>
      <c r="AC378" s="196"/>
      <c r="AD378" s="196"/>
      <c r="AE378" s="196"/>
      <c r="AF378" s="196"/>
      <c r="AG378" s="196"/>
      <c r="AH378" s="196"/>
      <c r="AI378" s="196"/>
      <c r="AJ378" s="196"/>
      <c r="AK378" s="196"/>
      <c r="AL378" s="196"/>
      <c r="AM378" s="196"/>
      <c r="AN378" s="196"/>
      <c r="AO378" s="196"/>
      <c r="AP378" s="196"/>
      <c r="AQ378" s="196"/>
      <c r="AR378" s="196"/>
      <c r="AS378" s="196"/>
    </row>
    <row r="379" spans="1:45" ht="15.75" customHeight="1">
      <c r="A379" s="196"/>
      <c r="B379" s="196"/>
      <c r="C379" s="88"/>
      <c r="D379" s="88"/>
      <c r="E379" s="88"/>
      <c r="F379" s="196"/>
      <c r="G379" s="196"/>
      <c r="H379" s="196"/>
      <c r="I379" s="196"/>
      <c r="J379" s="196"/>
      <c r="K379" s="196"/>
      <c r="L379" s="196"/>
      <c r="M379" s="196"/>
      <c r="N379" s="196"/>
      <c r="O379" s="196"/>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c r="AM379" s="196"/>
      <c r="AN379" s="196"/>
      <c r="AO379" s="196"/>
      <c r="AP379" s="196"/>
      <c r="AQ379" s="196"/>
      <c r="AR379" s="196"/>
      <c r="AS379" s="196"/>
    </row>
    <row r="380" spans="1:45" ht="15.75" customHeight="1">
      <c r="A380" s="196"/>
      <c r="B380" s="196"/>
      <c r="C380" s="88"/>
      <c r="D380" s="88"/>
      <c r="E380" s="88"/>
      <c r="F380" s="196"/>
      <c r="G380" s="196"/>
      <c r="H380" s="196"/>
      <c r="I380" s="196"/>
      <c r="J380" s="196"/>
      <c r="K380" s="196"/>
      <c r="L380" s="196"/>
      <c r="M380" s="196"/>
      <c r="N380" s="196"/>
      <c r="O380" s="19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c r="AM380" s="196"/>
      <c r="AN380" s="196"/>
      <c r="AO380" s="196"/>
      <c r="AP380" s="196"/>
      <c r="AQ380" s="196"/>
      <c r="AR380" s="196"/>
      <c r="AS380" s="196"/>
    </row>
    <row r="381" spans="1:45" ht="15.75" customHeight="1">
      <c r="A381" s="196"/>
      <c r="B381" s="196"/>
      <c r="C381" s="88"/>
      <c r="D381" s="88"/>
      <c r="E381" s="88"/>
      <c r="F381" s="196"/>
      <c r="G381" s="196"/>
      <c r="H381" s="196"/>
      <c r="I381" s="196"/>
      <c r="J381" s="196"/>
      <c r="K381" s="196"/>
      <c r="L381" s="196"/>
      <c r="M381" s="196"/>
      <c r="N381" s="196"/>
      <c r="O381" s="19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c r="AM381" s="196"/>
      <c r="AN381" s="196"/>
      <c r="AO381" s="196"/>
      <c r="AP381" s="196"/>
      <c r="AQ381" s="196"/>
      <c r="AR381" s="196"/>
      <c r="AS381" s="196"/>
    </row>
    <row r="382" spans="1:45" ht="15.75" customHeight="1">
      <c r="A382" s="196"/>
      <c r="B382" s="196"/>
      <c r="C382" s="88"/>
      <c r="D382" s="88"/>
      <c r="E382" s="88"/>
      <c r="F382" s="196"/>
      <c r="G382" s="196"/>
      <c r="H382" s="196"/>
      <c r="I382" s="196"/>
      <c r="J382" s="196"/>
      <c r="K382" s="196"/>
      <c r="L382" s="196"/>
      <c r="M382" s="196"/>
      <c r="N382" s="196"/>
      <c r="O382" s="19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c r="AM382" s="196"/>
      <c r="AN382" s="196"/>
      <c r="AO382" s="196"/>
      <c r="AP382" s="196"/>
      <c r="AQ382" s="196"/>
      <c r="AR382" s="196"/>
      <c r="AS382" s="196"/>
    </row>
    <row r="383" spans="1:45" ht="15.75" customHeight="1">
      <c r="A383" s="196"/>
      <c r="B383" s="196"/>
      <c r="C383" s="88"/>
      <c r="D383" s="88"/>
      <c r="E383" s="88"/>
      <c r="F383" s="196"/>
      <c r="G383" s="196"/>
      <c r="H383" s="196"/>
      <c r="I383" s="196"/>
      <c r="J383" s="196"/>
      <c r="K383" s="196"/>
      <c r="L383" s="196"/>
      <c r="M383" s="196"/>
      <c r="N383" s="196"/>
      <c r="O383" s="19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c r="AM383" s="196"/>
      <c r="AN383" s="196"/>
      <c r="AO383" s="196"/>
      <c r="AP383" s="196"/>
      <c r="AQ383" s="196"/>
      <c r="AR383" s="196"/>
      <c r="AS383" s="196"/>
    </row>
    <row r="384" spans="1:45" ht="15.75" customHeight="1">
      <c r="A384" s="196"/>
      <c r="B384" s="196"/>
      <c r="C384" s="88"/>
      <c r="D384" s="88"/>
      <c r="E384" s="88"/>
      <c r="F384" s="196"/>
      <c r="G384" s="196"/>
      <c r="H384" s="196"/>
      <c r="I384" s="196"/>
      <c r="J384" s="196"/>
      <c r="K384" s="196"/>
      <c r="L384" s="196"/>
      <c r="M384" s="196"/>
      <c r="N384" s="196"/>
      <c r="O384" s="19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c r="AM384" s="196"/>
      <c r="AN384" s="196"/>
      <c r="AO384" s="196"/>
      <c r="AP384" s="196"/>
      <c r="AQ384" s="196"/>
      <c r="AR384" s="196"/>
      <c r="AS384" s="196"/>
    </row>
    <row r="385" spans="1:45" ht="15.75" customHeight="1">
      <c r="A385" s="196"/>
      <c r="B385" s="196"/>
      <c r="C385" s="88"/>
      <c r="D385" s="88"/>
      <c r="E385" s="88"/>
      <c r="F385" s="196"/>
      <c r="G385" s="196"/>
      <c r="H385" s="196"/>
      <c r="I385" s="196"/>
      <c r="J385" s="196"/>
      <c r="K385" s="196"/>
      <c r="L385" s="196"/>
      <c r="M385" s="196"/>
      <c r="N385" s="196"/>
      <c r="O385" s="19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c r="AM385" s="196"/>
      <c r="AN385" s="196"/>
      <c r="AO385" s="196"/>
      <c r="AP385" s="196"/>
      <c r="AQ385" s="196"/>
      <c r="AR385" s="196"/>
      <c r="AS385" s="196"/>
    </row>
    <row r="386" spans="1:45" ht="15.75" customHeight="1">
      <c r="A386" s="196"/>
      <c r="B386" s="196"/>
      <c r="C386" s="88"/>
      <c r="D386" s="88"/>
      <c r="E386" s="88"/>
      <c r="F386" s="196"/>
      <c r="G386" s="196"/>
      <c r="H386" s="196"/>
      <c r="I386" s="196"/>
      <c r="J386" s="196"/>
      <c r="K386" s="196"/>
      <c r="L386" s="196"/>
      <c r="M386" s="196"/>
      <c r="N386" s="196"/>
      <c r="O386" s="19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c r="AM386" s="196"/>
      <c r="AN386" s="196"/>
      <c r="AO386" s="196"/>
      <c r="AP386" s="196"/>
      <c r="AQ386" s="196"/>
      <c r="AR386" s="196"/>
      <c r="AS386" s="196"/>
    </row>
    <row r="387" spans="1:45" ht="15.75" customHeight="1">
      <c r="A387" s="196"/>
      <c r="B387" s="196"/>
      <c r="C387" s="88"/>
      <c r="D387" s="88"/>
      <c r="E387" s="88"/>
      <c r="F387" s="196"/>
      <c r="G387" s="196"/>
      <c r="H387" s="196"/>
      <c r="I387" s="196"/>
      <c r="J387" s="196"/>
      <c r="K387" s="196"/>
      <c r="L387" s="196"/>
      <c r="M387" s="196"/>
      <c r="N387" s="196"/>
      <c r="O387" s="19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c r="AM387" s="196"/>
      <c r="AN387" s="196"/>
      <c r="AO387" s="196"/>
      <c r="AP387" s="196"/>
      <c r="AQ387" s="196"/>
      <c r="AR387" s="196"/>
      <c r="AS387" s="196"/>
    </row>
    <row r="388" spans="1:45" ht="15.75" customHeight="1">
      <c r="A388" s="196"/>
      <c r="B388" s="196"/>
      <c r="C388" s="88"/>
      <c r="D388" s="88"/>
      <c r="E388" s="88"/>
      <c r="F388" s="196"/>
      <c r="G388" s="196"/>
      <c r="H388" s="196"/>
      <c r="I388" s="196"/>
      <c r="J388" s="196"/>
      <c r="K388" s="196"/>
      <c r="L388" s="196"/>
      <c r="M388" s="196"/>
      <c r="N388" s="196"/>
      <c r="O388" s="196"/>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c r="AM388" s="196"/>
      <c r="AN388" s="196"/>
      <c r="AO388" s="196"/>
      <c r="AP388" s="196"/>
      <c r="AQ388" s="196"/>
      <c r="AR388" s="196"/>
      <c r="AS388" s="196"/>
    </row>
    <row r="389" spans="1:45" ht="15.75" customHeight="1">
      <c r="A389" s="196"/>
      <c r="B389" s="196"/>
      <c r="C389" s="88"/>
      <c r="D389" s="88"/>
      <c r="E389" s="88"/>
      <c r="F389" s="196"/>
      <c r="G389" s="196"/>
      <c r="H389" s="196"/>
      <c r="I389" s="196"/>
      <c r="J389" s="196"/>
      <c r="K389" s="196"/>
      <c r="L389" s="196"/>
      <c r="M389" s="196"/>
      <c r="N389" s="196"/>
      <c r="O389" s="196"/>
      <c r="P389" s="196"/>
      <c r="Q389" s="196"/>
      <c r="R389" s="196"/>
      <c r="S389" s="196"/>
      <c r="T389" s="196"/>
      <c r="U389" s="196"/>
      <c r="V389" s="196"/>
      <c r="W389" s="196"/>
      <c r="X389" s="196"/>
      <c r="Y389" s="196"/>
      <c r="Z389" s="196"/>
      <c r="AA389" s="196"/>
      <c r="AB389" s="196"/>
      <c r="AC389" s="196"/>
      <c r="AD389" s="196"/>
      <c r="AE389" s="196"/>
      <c r="AF389" s="196"/>
      <c r="AG389" s="196"/>
      <c r="AH389" s="196"/>
      <c r="AI389" s="196"/>
      <c r="AJ389" s="196"/>
      <c r="AK389" s="196"/>
      <c r="AL389" s="196"/>
      <c r="AM389" s="196"/>
      <c r="AN389" s="196"/>
      <c r="AO389" s="196"/>
      <c r="AP389" s="196"/>
      <c r="AQ389" s="196"/>
      <c r="AR389" s="196"/>
      <c r="AS389" s="196"/>
    </row>
    <row r="390" spans="1:45" ht="15.75" customHeight="1">
      <c r="A390" s="196"/>
      <c r="B390" s="196"/>
      <c r="C390" s="88"/>
      <c r="D390" s="88"/>
      <c r="E390" s="88"/>
      <c r="F390" s="196"/>
      <c r="G390" s="196"/>
      <c r="H390" s="196"/>
      <c r="I390" s="196"/>
      <c r="J390" s="196"/>
      <c r="K390" s="196"/>
      <c r="L390" s="196"/>
      <c r="M390" s="196"/>
      <c r="N390" s="196"/>
      <c r="O390" s="196"/>
      <c r="P390" s="196"/>
      <c r="Q390" s="196"/>
      <c r="R390" s="196"/>
      <c r="S390" s="196"/>
      <c r="T390" s="196"/>
      <c r="U390" s="196"/>
      <c r="V390" s="196"/>
      <c r="W390" s="196"/>
      <c r="X390" s="196"/>
      <c r="Y390" s="196"/>
      <c r="Z390" s="196"/>
      <c r="AA390" s="196"/>
      <c r="AB390" s="196"/>
      <c r="AC390" s="196"/>
      <c r="AD390" s="196"/>
      <c r="AE390" s="196"/>
      <c r="AF390" s="196"/>
      <c r="AG390" s="196"/>
      <c r="AH390" s="196"/>
      <c r="AI390" s="196"/>
      <c r="AJ390" s="196"/>
      <c r="AK390" s="196"/>
      <c r="AL390" s="196"/>
      <c r="AM390" s="196"/>
      <c r="AN390" s="196"/>
      <c r="AO390" s="196"/>
      <c r="AP390" s="196"/>
      <c r="AQ390" s="196"/>
      <c r="AR390" s="196"/>
      <c r="AS390" s="196"/>
    </row>
    <row r="391" spans="1:45" ht="15.75" customHeight="1">
      <c r="A391" s="196"/>
      <c r="B391" s="196"/>
      <c r="C391" s="88"/>
      <c r="D391" s="88"/>
      <c r="E391" s="88"/>
      <c r="F391" s="196"/>
      <c r="G391" s="196"/>
      <c r="H391" s="196"/>
      <c r="I391" s="196"/>
      <c r="J391" s="196"/>
      <c r="K391" s="196"/>
      <c r="L391" s="196"/>
      <c r="M391" s="196"/>
      <c r="N391" s="196"/>
      <c r="O391" s="196"/>
      <c r="P391" s="196"/>
      <c r="Q391" s="196"/>
      <c r="R391" s="196"/>
      <c r="S391" s="196"/>
      <c r="T391" s="196"/>
      <c r="U391" s="196"/>
      <c r="V391" s="196"/>
      <c r="W391" s="196"/>
      <c r="X391" s="196"/>
      <c r="Y391" s="196"/>
      <c r="Z391" s="196"/>
      <c r="AA391" s="196"/>
      <c r="AB391" s="196"/>
      <c r="AC391" s="196"/>
      <c r="AD391" s="196"/>
      <c r="AE391" s="196"/>
      <c r="AF391" s="196"/>
      <c r="AG391" s="196"/>
      <c r="AH391" s="196"/>
      <c r="AI391" s="196"/>
      <c r="AJ391" s="196"/>
      <c r="AK391" s="196"/>
      <c r="AL391" s="196"/>
      <c r="AM391" s="196"/>
      <c r="AN391" s="196"/>
      <c r="AO391" s="196"/>
      <c r="AP391" s="196"/>
      <c r="AQ391" s="196"/>
      <c r="AR391" s="196"/>
      <c r="AS391" s="196"/>
    </row>
    <row r="392" spans="1:45" ht="15.75" customHeight="1">
      <c r="A392" s="196"/>
      <c r="B392" s="196"/>
      <c r="C392" s="88"/>
      <c r="D392" s="88"/>
      <c r="E392" s="88"/>
      <c r="F392" s="196"/>
      <c r="G392" s="196"/>
      <c r="H392" s="196"/>
      <c r="I392" s="196"/>
      <c r="J392" s="196"/>
      <c r="K392" s="196"/>
      <c r="L392" s="196"/>
      <c r="M392" s="196"/>
      <c r="N392" s="196"/>
      <c r="O392" s="196"/>
      <c r="P392" s="196"/>
      <c r="Q392" s="196"/>
      <c r="R392" s="196"/>
      <c r="S392" s="196"/>
      <c r="T392" s="196"/>
      <c r="U392" s="196"/>
      <c r="V392" s="196"/>
      <c r="W392" s="196"/>
      <c r="X392" s="196"/>
      <c r="Y392" s="196"/>
      <c r="Z392" s="196"/>
      <c r="AA392" s="196"/>
      <c r="AB392" s="196"/>
      <c r="AC392" s="196"/>
      <c r="AD392" s="196"/>
      <c r="AE392" s="196"/>
      <c r="AF392" s="196"/>
      <c r="AG392" s="196"/>
      <c r="AH392" s="196"/>
      <c r="AI392" s="196"/>
      <c r="AJ392" s="196"/>
      <c r="AK392" s="196"/>
      <c r="AL392" s="196"/>
      <c r="AM392" s="196"/>
      <c r="AN392" s="196"/>
      <c r="AO392" s="196"/>
      <c r="AP392" s="196"/>
      <c r="AQ392" s="196"/>
      <c r="AR392" s="196"/>
      <c r="AS392" s="196"/>
    </row>
    <row r="393" spans="1:45" ht="15.75" customHeight="1">
      <c r="A393" s="196"/>
      <c r="B393" s="196"/>
      <c r="C393" s="88"/>
      <c r="D393" s="88"/>
      <c r="E393" s="88"/>
      <c r="F393" s="196"/>
      <c r="G393" s="196"/>
      <c r="H393" s="196"/>
      <c r="I393" s="196"/>
      <c r="J393" s="196"/>
      <c r="K393" s="196"/>
      <c r="L393" s="196"/>
      <c r="M393" s="196"/>
      <c r="N393" s="196"/>
      <c r="O393" s="196"/>
      <c r="P393" s="196"/>
      <c r="Q393" s="196"/>
      <c r="R393" s="196"/>
      <c r="S393" s="196"/>
      <c r="T393" s="196"/>
      <c r="U393" s="196"/>
      <c r="V393" s="196"/>
      <c r="W393" s="196"/>
      <c r="X393" s="196"/>
      <c r="Y393" s="196"/>
      <c r="Z393" s="196"/>
      <c r="AA393" s="196"/>
      <c r="AB393" s="196"/>
      <c r="AC393" s="196"/>
      <c r="AD393" s="196"/>
      <c r="AE393" s="196"/>
      <c r="AF393" s="196"/>
      <c r="AG393" s="196"/>
      <c r="AH393" s="196"/>
      <c r="AI393" s="196"/>
      <c r="AJ393" s="196"/>
      <c r="AK393" s="196"/>
      <c r="AL393" s="196"/>
      <c r="AM393" s="196"/>
      <c r="AN393" s="196"/>
      <c r="AO393" s="196"/>
      <c r="AP393" s="196"/>
      <c r="AQ393" s="196"/>
      <c r="AR393" s="196"/>
      <c r="AS393" s="196"/>
    </row>
    <row r="394" spans="1:45" ht="15.75" customHeight="1">
      <c r="A394" s="196"/>
      <c r="B394" s="196"/>
      <c r="C394" s="88"/>
      <c r="D394" s="88"/>
      <c r="E394" s="88"/>
      <c r="F394" s="196"/>
      <c r="G394" s="196"/>
      <c r="H394" s="196"/>
      <c r="I394" s="196"/>
      <c r="J394" s="196"/>
      <c r="K394" s="196"/>
      <c r="L394" s="196"/>
      <c r="M394" s="196"/>
      <c r="N394" s="196"/>
      <c r="O394" s="196"/>
      <c r="P394" s="196"/>
      <c r="Q394" s="196"/>
      <c r="R394" s="196"/>
      <c r="S394" s="196"/>
      <c r="T394" s="196"/>
      <c r="U394" s="196"/>
      <c r="V394" s="196"/>
      <c r="W394" s="196"/>
      <c r="X394" s="196"/>
      <c r="Y394" s="196"/>
      <c r="Z394" s="196"/>
      <c r="AA394" s="196"/>
      <c r="AB394" s="196"/>
      <c r="AC394" s="196"/>
      <c r="AD394" s="196"/>
      <c r="AE394" s="196"/>
      <c r="AF394" s="196"/>
      <c r="AG394" s="196"/>
      <c r="AH394" s="196"/>
      <c r="AI394" s="196"/>
      <c r="AJ394" s="196"/>
      <c r="AK394" s="196"/>
      <c r="AL394" s="196"/>
      <c r="AM394" s="196"/>
      <c r="AN394" s="196"/>
      <c r="AO394" s="196"/>
      <c r="AP394" s="196"/>
      <c r="AQ394" s="196"/>
      <c r="AR394" s="196"/>
      <c r="AS394" s="196"/>
    </row>
    <row r="395" spans="1:45" ht="15.75" customHeight="1">
      <c r="A395" s="196"/>
      <c r="B395" s="196"/>
      <c r="C395" s="88"/>
      <c r="D395" s="88"/>
      <c r="E395" s="88"/>
      <c r="F395" s="196"/>
      <c r="G395" s="196"/>
      <c r="H395" s="196"/>
      <c r="I395" s="196"/>
      <c r="J395" s="196"/>
      <c r="K395" s="196"/>
      <c r="L395" s="196"/>
      <c r="M395" s="196"/>
      <c r="N395" s="196"/>
      <c r="O395" s="196"/>
      <c r="P395" s="196"/>
      <c r="Q395" s="196"/>
      <c r="R395" s="196"/>
      <c r="S395" s="196"/>
      <c r="T395" s="196"/>
      <c r="U395" s="196"/>
      <c r="V395" s="196"/>
      <c r="W395" s="196"/>
      <c r="X395" s="196"/>
      <c r="Y395" s="196"/>
      <c r="Z395" s="196"/>
      <c r="AA395" s="196"/>
      <c r="AB395" s="196"/>
      <c r="AC395" s="196"/>
      <c r="AD395" s="196"/>
      <c r="AE395" s="196"/>
      <c r="AF395" s="196"/>
      <c r="AG395" s="196"/>
      <c r="AH395" s="196"/>
      <c r="AI395" s="196"/>
      <c r="AJ395" s="196"/>
      <c r="AK395" s="196"/>
      <c r="AL395" s="196"/>
      <c r="AM395" s="196"/>
      <c r="AN395" s="196"/>
      <c r="AO395" s="196"/>
      <c r="AP395" s="196"/>
      <c r="AQ395" s="196"/>
      <c r="AR395" s="196"/>
      <c r="AS395" s="196"/>
    </row>
    <row r="396" spans="1:45" ht="15.75" customHeight="1">
      <c r="A396" s="196"/>
      <c r="B396" s="196"/>
      <c r="C396" s="88"/>
      <c r="D396" s="88"/>
      <c r="E396" s="88"/>
      <c r="F396" s="196"/>
      <c r="G396" s="196"/>
      <c r="H396" s="196"/>
      <c r="I396" s="196"/>
      <c r="J396" s="196"/>
      <c r="K396" s="196"/>
      <c r="L396" s="196"/>
      <c r="M396" s="196"/>
      <c r="N396" s="196"/>
      <c r="O396" s="196"/>
      <c r="P396" s="196"/>
      <c r="Q396" s="196"/>
      <c r="R396" s="196"/>
      <c r="S396" s="196"/>
      <c r="T396" s="196"/>
      <c r="U396" s="196"/>
      <c r="V396" s="196"/>
      <c r="W396" s="196"/>
      <c r="X396" s="196"/>
      <c r="Y396" s="196"/>
      <c r="Z396" s="196"/>
      <c r="AA396" s="196"/>
      <c r="AB396" s="196"/>
      <c r="AC396" s="196"/>
      <c r="AD396" s="196"/>
      <c r="AE396" s="196"/>
      <c r="AF396" s="196"/>
      <c r="AG396" s="196"/>
      <c r="AH396" s="196"/>
      <c r="AI396" s="196"/>
      <c r="AJ396" s="196"/>
      <c r="AK396" s="196"/>
      <c r="AL396" s="196"/>
      <c r="AM396" s="196"/>
      <c r="AN396" s="196"/>
      <c r="AO396" s="196"/>
      <c r="AP396" s="196"/>
      <c r="AQ396" s="196"/>
      <c r="AR396" s="196"/>
      <c r="AS396" s="196"/>
    </row>
    <row r="397" spans="1:45" ht="15.75" customHeight="1">
      <c r="A397" s="196"/>
      <c r="B397" s="196"/>
      <c r="C397" s="88"/>
      <c r="D397" s="88"/>
      <c r="E397" s="88"/>
      <c r="F397" s="196"/>
      <c r="G397" s="196"/>
      <c r="H397" s="196"/>
      <c r="I397" s="196"/>
      <c r="J397" s="196"/>
      <c r="K397" s="196"/>
      <c r="L397" s="196"/>
      <c r="M397" s="196"/>
      <c r="N397" s="196"/>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row>
    <row r="398" spans="1:45" ht="15.75" customHeight="1">
      <c r="A398" s="196"/>
      <c r="B398" s="196"/>
      <c r="C398" s="88"/>
      <c r="D398" s="88"/>
      <c r="E398" s="88"/>
      <c r="F398" s="196"/>
      <c r="G398" s="196"/>
      <c r="H398" s="196"/>
      <c r="I398" s="196"/>
      <c r="J398" s="196"/>
      <c r="K398" s="196"/>
      <c r="L398" s="196"/>
      <c r="M398" s="196"/>
      <c r="N398" s="196"/>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row>
    <row r="399" spans="1:45" ht="15.75" customHeight="1">
      <c r="A399" s="196"/>
      <c r="B399" s="196"/>
      <c r="C399" s="88"/>
      <c r="D399" s="88"/>
      <c r="E399" s="88"/>
      <c r="F399" s="196"/>
      <c r="G399" s="196"/>
      <c r="H399" s="196"/>
      <c r="I399" s="196"/>
      <c r="J399" s="196"/>
      <c r="K399" s="196"/>
      <c r="L399" s="196"/>
      <c r="M399" s="196"/>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row>
    <row r="400" spans="1:45" ht="15.75" customHeight="1">
      <c r="A400" s="196"/>
      <c r="B400" s="196"/>
      <c r="C400" s="88"/>
      <c r="D400" s="88"/>
      <c r="E400" s="88"/>
      <c r="F400" s="196"/>
      <c r="G400" s="196"/>
      <c r="H400" s="196"/>
      <c r="I400" s="196"/>
      <c r="J400" s="196"/>
      <c r="K400" s="196"/>
      <c r="L400" s="196"/>
      <c r="M400" s="196"/>
      <c r="N400" s="196"/>
      <c r="O400" s="196"/>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row>
    <row r="401" spans="1:45" ht="15.75" customHeight="1">
      <c r="A401" s="196"/>
      <c r="B401" s="196"/>
      <c r="C401" s="88"/>
      <c r="D401" s="88"/>
      <c r="E401" s="88"/>
      <c r="F401" s="196"/>
      <c r="G401" s="196"/>
      <c r="H401" s="196"/>
      <c r="I401" s="196"/>
      <c r="J401" s="196"/>
      <c r="K401" s="196"/>
      <c r="L401" s="196"/>
      <c r="M401" s="196"/>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row>
    <row r="402" spans="1:45" ht="15.75" customHeight="1">
      <c r="A402" s="196"/>
      <c r="B402" s="196"/>
      <c r="C402" s="88"/>
      <c r="D402" s="88"/>
      <c r="E402" s="88"/>
      <c r="F402" s="196"/>
      <c r="G402" s="196"/>
      <c r="H402" s="196"/>
      <c r="I402" s="196"/>
      <c r="J402" s="196"/>
      <c r="K402" s="196"/>
      <c r="L402" s="196"/>
      <c r="M402" s="196"/>
      <c r="N402" s="196"/>
      <c r="O402" s="196"/>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row>
    <row r="403" spans="1:45" ht="15.75" customHeight="1">
      <c r="A403" s="196"/>
      <c r="B403" s="196"/>
      <c r="C403" s="88"/>
      <c r="D403" s="88"/>
      <c r="E403" s="88"/>
      <c r="F403" s="196"/>
      <c r="G403" s="196"/>
      <c r="H403" s="196"/>
      <c r="I403" s="196"/>
      <c r="J403" s="196"/>
      <c r="K403" s="196"/>
      <c r="L403" s="196"/>
      <c r="M403" s="196"/>
      <c r="N403" s="196"/>
      <c r="O403" s="196"/>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row>
    <row r="404" spans="1:45" ht="15.75" customHeight="1">
      <c r="A404" s="196"/>
      <c r="B404" s="196"/>
      <c r="C404" s="88"/>
      <c r="D404" s="88"/>
      <c r="E404" s="88"/>
      <c r="F404" s="196"/>
      <c r="G404" s="196"/>
      <c r="H404" s="196"/>
      <c r="I404" s="196"/>
      <c r="J404" s="196"/>
      <c r="K404" s="196"/>
      <c r="L404" s="196"/>
      <c r="M404" s="196"/>
      <c r="N404" s="196"/>
      <c r="O404" s="196"/>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row>
    <row r="405" spans="1:45" ht="15.75" customHeight="1">
      <c r="A405" s="196"/>
      <c r="B405" s="196"/>
      <c r="C405" s="88"/>
      <c r="D405" s="88"/>
      <c r="E405" s="88"/>
      <c r="F405" s="196"/>
      <c r="G405" s="196"/>
      <c r="H405" s="196"/>
      <c r="I405" s="196"/>
      <c r="J405" s="196"/>
      <c r="K405" s="196"/>
      <c r="L405" s="196"/>
      <c r="M405" s="196"/>
      <c r="N405" s="196"/>
      <c r="O405" s="196"/>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row>
    <row r="406" spans="1:45" ht="15.75" customHeight="1">
      <c r="A406" s="196"/>
      <c r="B406" s="196"/>
      <c r="C406" s="88"/>
      <c r="D406" s="88"/>
      <c r="E406" s="88"/>
      <c r="F406" s="196"/>
      <c r="G406" s="196"/>
      <c r="H406" s="196"/>
      <c r="I406" s="196"/>
      <c r="J406" s="196"/>
      <c r="K406" s="196"/>
      <c r="L406" s="196"/>
      <c r="M406" s="196"/>
      <c r="N406" s="196"/>
      <c r="O406" s="196"/>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row>
    <row r="407" spans="1:45" ht="15.75" customHeight="1">
      <c r="A407" s="196"/>
      <c r="B407" s="196"/>
      <c r="C407" s="88"/>
      <c r="D407" s="88"/>
      <c r="E407" s="88"/>
      <c r="F407" s="196"/>
      <c r="G407" s="196"/>
      <c r="H407" s="196"/>
      <c r="I407" s="196"/>
      <c r="J407" s="196"/>
      <c r="K407" s="196"/>
      <c r="L407" s="196"/>
      <c r="M407" s="196"/>
      <c r="N407" s="196"/>
      <c r="O407" s="196"/>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row>
    <row r="408" spans="1:45" ht="15.75" customHeight="1">
      <c r="A408" s="196"/>
      <c r="B408" s="196"/>
      <c r="C408" s="88"/>
      <c r="D408" s="88"/>
      <c r="E408" s="88"/>
      <c r="F408" s="196"/>
      <c r="G408" s="196"/>
      <c r="H408" s="196"/>
      <c r="I408" s="196"/>
      <c r="J408" s="196"/>
      <c r="K408" s="196"/>
      <c r="L408" s="196"/>
      <c r="M408" s="196"/>
      <c r="N408" s="196"/>
      <c r="O408" s="196"/>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row>
    <row r="409" spans="1:45" ht="15.75" customHeight="1">
      <c r="A409" s="196"/>
      <c r="B409" s="196"/>
      <c r="C409" s="88"/>
      <c r="D409" s="88"/>
      <c r="E409" s="88"/>
      <c r="F409" s="196"/>
      <c r="G409" s="196"/>
      <c r="H409" s="196"/>
      <c r="I409" s="196"/>
      <c r="J409" s="196"/>
      <c r="K409" s="196"/>
      <c r="L409" s="196"/>
      <c r="M409" s="196"/>
      <c r="N409" s="196"/>
      <c r="O409" s="196"/>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row>
    <row r="410" spans="1:45" ht="15.75" customHeight="1">
      <c r="A410" s="196"/>
      <c r="B410" s="196"/>
      <c r="C410" s="88"/>
      <c r="D410" s="88"/>
      <c r="E410" s="88"/>
      <c r="F410" s="196"/>
      <c r="G410" s="196"/>
      <c r="H410" s="196"/>
      <c r="I410" s="196"/>
      <c r="J410" s="196"/>
      <c r="K410" s="196"/>
      <c r="L410" s="196"/>
      <c r="M410" s="196"/>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row>
    <row r="411" spans="1:45" ht="15.75" customHeight="1">
      <c r="A411" s="196"/>
      <c r="B411" s="196"/>
      <c r="C411" s="88"/>
      <c r="D411" s="88"/>
      <c r="E411" s="88"/>
      <c r="F411" s="196"/>
      <c r="G411" s="196"/>
      <c r="H411" s="196"/>
      <c r="I411" s="196"/>
      <c r="J411" s="196"/>
      <c r="K411" s="196"/>
      <c r="L411" s="196"/>
      <c r="M411" s="196"/>
      <c r="N411" s="196"/>
      <c r="O411" s="196"/>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row>
    <row r="412" spans="1:45" ht="15.75" customHeight="1">
      <c r="A412" s="196"/>
      <c r="B412" s="196"/>
      <c r="C412" s="88"/>
      <c r="D412" s="88"/>
      <c r="E412" s="88"/>
      <c r="F412" s="196"/>
      <c r="G412" s="196"/>
      <c r="H412" s="196"/>
      <c r="I412" s="196"/>
      <c r="J412" s="196"/>
      <c r="K412" s="196"/>
      <c r="L412" s="196"/>
      <c r="M412" s="196"/>
      <c r="N412" s="196"/>
      <c r="O412" s="196"/>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row>
    <row r="413" spans="1:45" ht="15.75" customHeight="1">
      <c r="A413" s="196"/>
      <c r="B413" s="196"/>
      <c r="C413" s="88"/>
      <c r="D413" s="88"/>
      <c r="E413" s="88"/>
      <c r="F413" s="196"/>
      <c r="G413" s="196"/>
      <c r="H413" s="196"/>
      <c r="I413" s="196"/>
      <c r="J413" s="196"/>
      <c r="K413" s="196"/>
      <c r="L413" s="196"/>
      <c r="M413" s="196"/>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row>
    <row r="414" spans="1:45" ht="15.75" customHeight="1">
      <c r="A414" s="196"/>
      <c r="B414" s="196"/>
      <c r="C414" s="88"/>
      <c r="D414" s="88"/>
      <c r="E414" s="88"/>
      <c r="F414" s="196"/>
      <c r="G414" s="196"/>
      <c r="H414" s="196"/>
      <c r="I414" s="196"/>
      <c r="J414" s="196"/>
      <c r="K414" s="196"/>
      <c r="L414" s="196"/>
      <c r="M414" s="196"/>
      <c r="N414" s="196"/>
      <c r="O414" s="196"/>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row>
    <row r="415" spans="1:45" ht="15.75" customHeight="1">
      <c r="A415" s="196"/>
      <c r="B415" s="196"/>
      <c r="C415" s="88"/>
      <c r="D415" s="88"/>
      <c r="E415" s="88"/>
      <c r="F415" s="196"/>
      <c r="G415" s="196"/>
      <c r="H415" s="196"/>
      <c r="I415" s="196"/>
      <c r="J415" s="196"/>
      <c r="K415" s="196"/>
      <c r="L415" s="196"/>
      <c r="M415" s="196"/>
      <c r="N415" s="196"/>
      <c r="O415" s="196"/>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row>
    <row r="416" spans="1:45" ht="15.75" customHeight="1">
      <c r="A416" s="196"/>
      <c r="B416" s="196"/>
      <c r="C416" s="88"/>
      <c r="D416" s="88"/>
      <c r="E416" s="88"/>
      <c r="F416" s="196"/>
      <c r="G416" s="196"/>
      <c r="H416" s="196"/>
      <c r="I416" s="196"/>
      <c r="J416" s="196"/>
      <c r="K416" s="196"/>
      <c r="L416" s="196"/>
      <c r="M416" s="196"/>
      <c r="N416" s="196"/>
      <c r="O416" s="196"/>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row>
    <row r="417" spans="1:45" ht="15.75" customHeight="1">
      <c r="A417" s="196"/>
      <c r="B417" s="196"/>
      <c r="C417" s="88"/>
      <c r="D417" s="88"/>
      <c r="E417" s="88"/>
      <c r="F417" s="196"/>
      <c r="G417" s="196"/>
      <c r="H417" s="196"/>
      <c r="I417" s="196"/>
      <c r="J417" s="196"/>
      <c r="K417" s="196"/>
      <c r="L417" s="196"/>
      <c r="M417" s="196"/>
      <c r="N417" s="196"/>
      <c r="O417" s="196"/>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row>
    <row r="418" spans="1:45" ht="15.75" customHeight="1">
      <c r="A418" s="196"/>
      <c r="B418" s="196"/>
      <c r="C418" s="88"/>
      <c r="D418" s="88"/>
      <c r="E418" s="88"/>
      <c r="F418" s="196"/>
      <c r="G418" s="196"/>
      <c r="H418" s="196"/>
      <c r="I418" s="196"/>
      <c r="J418" s="196"/>
      <c r="K418" s="196"/>
      <c r="L418" s="196"/>
      <c r="M418" s="196"/>
      <c r="N418" s="196"/>
      <c r="O418" s="196"/>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row>
    <row r="419" spans="1:45" ht="15.75" customHeight="1">
      <c r="A419" s="196"/>
      <c r="B419" s="196"/>
      <c r="C419" s="88"/>
      <c r="D419" s="88"/>
      <c r="E419" s="88"/>
      <c r="F419" s="196"/>
      <c r="G419" s="196"/>
      <c r="H419" s="196"/>
      <c r="I419" s="196"/>
      <c r="J419" s="196"/>
      <c r="K419" s="196"/>
      <c r="L419" s="196"/>
      <c r="M419" s="196"/>
      <c r="N419" s="196"/>
      <c r="O419" s="196"/>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row>
    <row r="420" spans="1:45" ht="15.75" customHeight="1">
      <c r="A420" s="196"/>
      <c r="B420" s="196"/>
      <c r="C420" s="88"/>
      <c r="D420" s="88"/>
      <c r="E420" s="88"/>
      <c r="F420" s="196"/>
      <c r="G420" s="196"/>
      <c r="H420" s="196"/>
      <c r="I420" s="196"/>
      <c r="J420" s="196"/>
      <c r="K420" s="196"/>
      <c r="L420" s="196"/>
      <c r="M420" s="196"/>
      <c r="N420" s="196"/>
      <c r="O420" s="196"/>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row>
    <row r="421" spans="1:45" ht="15.75" customHeight="1">
      <c r="A421" s="196"/>
      <c r="B421" s="196"/>
      <c r="C421" s="88"/>
      <c r="D421" s="88"/>
      <c r="E421" s="88"/>
      <c r="F421" s="196"/>
      <c r="G421" s="196"/>
      <c r="H421" s="196"/>
      <c r="I421" s="196"/>
      <c r="J421" s="196"/>
      <c r="K421" s="196"/>
      <c r="L421" s="196"/>
      <c r="M421" s="196"/>
      <c r="N421" s="196"/>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row>
    <row r="422" spans="1:45" ht="15.75" customHeight="1">
      <c r="A422" s="196"/>
      <c r="B422" s="196"/>
      <c r="C422" s="88"/>
      <c r="D422" s="88"/>
      <c r="E422" s="88"/>
      <c r="F422" s="196"/>
      <c r="G422" s="196"/>
      <c r="H422" s="196"/>
      <c r="I422" s="196"/>
      <c r="J422" s="196"/>
      <c r="K422" s="196"/>
      <c r="L422" s="196"/>
      <c r="M422" s="196"/>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row>
    <row r="423" spans="1:45" ht="15.75" customHeight="1">
      <c r="A423" s="196"/>
      <c r="B423" s="196"/>
      <c r="C423" s="88"/>
      <c r="D423" s="88"/>
      <c r="E423" s="88"/>
      <c r="F423" s="196"/>
      <c r="G423" s="196"/>
      <c r="H423" s="196"/>
      <c r="I423" s="196"/>
      <c r="J423" s="196"/>
      <c r="K423" s="196"/>
      <c r="L423" s="196"/>
      <c r="M423" s="196"/>
      <c r="N423" s="196"/>
      <c r="O423" s="196"/>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row>
    <row r="424" spans="1:45" ht="15.75" customHeight="1">
      <c r="A424" s="196"/>
      <c r="B424" s="196"/>
      <c r="C424" s="88"/>
      <c r="D424" s="88"/>
      <c r="E424" s="88"/>
      <c r="F424" s="196"/>
      <c r="G424" s="196"/>
      <c r="H424" s="196"/>
      <c r="I424" s="196"/>
      <c r="J424" s="196"/>
      <c r="K424" s="196"/>
      <c r="L424" s="196"/>
      <c r="M424" s="196"/>
      <c r="N424" s="196"/>
      <c r="O424" s="196"/>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row>
    <row r="425" spans="1:45" ht="15.75" customHeight="1">
      <c r="A425" s="196"/>
      <c r="B425" s="196"/>
      <c r="C425" s="88"/>
      <c r="D425" s="88"/>
      <c r="E425" s="88"/>
      <c r="F425" s="196"/>
      <c r="G425" s="196"/>
      <c r="H425" s="196"/>
      <c r="I425" s="196"/>
      <c r="J425" s="196"/>
      <c r="K425" s="196"/>
      <c r="L425" s="196"/>
      <c r="M425" s="196"/>
      <c r="N425" s="196"/>
      <c r="O425" s="196"/>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row>
    <row r="426" spans="1:45" ht="15.75" customHeight="1">
      <c r="A426" s="196"/>
      <c r="B426" s="196"/>
      <c r="C426" s="88"/>
      <c r="D426" s="88"/>
      <c r="E426" s="88"/>
      <c r="F426" s="196"/>
      <c r="G426" s="196"/>
      <c r="H426" s="196"/>
      <c r="I426" s="196"/>
      <c r="J426" s="196"/>
      <c r="K426" s="196"/>
      <c r="L426" s="196"/>
      <c r="M426" s="196"/>
      <c r="N426" s="196"/>
      <c r="O426" s="196"/>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row>
    <row r="427" spans="1:45" ht="15.75" customHeight="1">
      <c r="A427" s="196"/>
      <c r="B427" s="196"/>
      <c r="C427" s="88"/>
      <c r="D427" s="88"/>
      <c r="E427" s="88"/>
      <c r="F427" s="196"/>
      <c r="G427" s="196"/>
      <c r="H427" s="196"/>
      <c r="I427" s="196"/>
      <c r="J427" s="196"/>
      <c r="K427" s="196"/>
      <c r="L427" s="196"/>
      <c r="M427" s="196"/>
      <c r="N427" s="196"/>
      <c r="O427" s="196"/>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row>
    <row r="428" spans="1:45" ht="15.75" customHeight="1">
      <c r="A428" s="196"/>
      <c r="B428" s="196"/>
      <c r="C428" s="88"/>
      <c r="D428" s="88"/>
      <c r="E428" s="88"/>
      <c r="F428" s="196"/>
      <c r="G428" s="196"/>
      <c r="H428" s="196"/>
      <c r="I428" s="196"/>
      <c r="J428" s="196"/>
      <c r="K428" s="196"/>
      <c r="L428" s="196"/>
      <c r="M428" s="196"/>
      <c r="N428" s="196"/>
      <c r="O428" s="196"/>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row>
    <row r="429" spans="1:45" ht="15.75" customHeight="1">
      <c r="A429" s="196"/>
      <c r="B429" s="196"/>
      <c r="C429" s="88"/>
      <c r="D429" s="88"/>
      <c r="E429" s="88"/>
      <c r="F429" s="196"/>
      <c r="G429" s="196"/>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row>
    <row r="430" spans="1:45" ht="15.75" customHeight="1">
      <c r="A430" s="196"/>
      <c r="B430" s="196"/>
      <c r="C430" s="88"/>
      <c r="D430" s="88"/>
      <c r="E430" s="88"/>
      <c r="F430" s="196"/>
      <c r="G430" s="196"/>
      <c r="H430" s="196"/>
      <c r="I430" s="196"/>
      <c r="J430" s="196"/>
      <c r="K430" s="196"/>
      <c r="L430" s="196"/>
      <c r="M430" s="196"/>
      <c r="N430" s="196"/>
      <c r="O430" s="196"/>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row>
    <row r="431" spans="1:45" ht="15.75" customHeight="1">
      <c r="A431" s="196"/>
      <c r="B431" s="196"/>
      <c r="C431" s="88"/>
      <c r="D431" s="88"/>
      <c r="E431" s="88"/>
      <c r="F431" s="196"/>
      <c r="G431" s="196"/>
      <c r="H431" s="196"/>
      <c r="I431" s="196"/>
      <c r="J431" s="196"/>
      <c r="K431" s="196"/>
      <c r="L431" s="196"/>
      <c r="M431" s="196"/>
      <c r="N431" s="196"/>
      <c r="O431" s="196"/>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row>
    <row r="432" spans="1:45" ht="15.75" customHeight="1">
      <c r="A432" s="196"/>
      <c r="B432" s="196"/>
      <c r="C432" s="88"/>
      <c r="D432" s="88"/>
      <c r="E432" s="88"/>
      <c r="F432" s="196"/>
      <c r="G432" s="196"/>
      <c r="H432" s="196"/>
      <c r="I432" s="196"/>
      <c r="J432" s="196"/>
      <c r="K432" s="196"/>
      <c r="L432" s="196"/>
      <c r="M432" s="196"/>
      <c r="N432" s="196"/>
      <c r="O432" s="196"/>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row>
    <row r="433" spans="1:45" ht="15.75" customHeight="1">
      <c r="A433" s="196"/>
      <c r="B433" s="196"/>
      <c r="C433" s="88"/>
      <c r="D433" s="88"/>
      <c r="E433" s="88"/>
      <c r="F433" s="196"/>
      <c r="G433" s="196"/>
      <c r="H433" s="196"/>
      <c r="I433" s="196"/>
      <c r="J433" s="196"/>
      <c r="K433" s="196"/>
      <c r="L433" s="196"/>
      <c r="M433" s="196"/>
      <c r="N433" s="196"/>
      <c r="O433" s="196"/>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row>
    <row r="434" spans="1:45" ht="15.75" customHeight="1">
      <c r="A434" s="196"/>
      <c r="B434" s="196"/>
      <c r="C434" s="88"/>
      <c r="D434" s="88"/>
      <c r="E434" s="88"/>
      <c r="F434" s="196"/>
      <c r="G434" s="196"/>
      <c r="H434" s="196"/>
      <c r="I434" s="196"/>
      <c r="J434" s="196"/>
      <c r="K434" s="196"/>
      <c r="L434" s="196"/>
      <c r="M434" s="196"/>
      <c r="N434" s="196"/>
      <c r="O434" s="196"/>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row>
    <row r="435" spans="1:45" ht="15.75" customHeight="1">
      <c r="A435" s="196"/>
      <c r="B435" s="196"/>
      <c r="C435" s="88"/>
      <c r="D435" s="88"/>
      <c r="E435" s="88"/>
      <c r="F435" s="196"/>
      <c r="G435" s="196"/>
      <c r="H435" s="196"/>
      <c r="I435" s="196"/>
      <c r="J435" s="196"/>
      <c r="K435" s="196"/>
      <c r="L435" s="196"/>
      <c r="M435" s="196"/>
      <c r="N435" s="196"/>
      <c r="O435" s="196"/>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row>
    <row r="436" spans="1:45" ht="15.75" customHeight="1">
      <c r="A436" s="196"/>
      <c r="B436" s="196"/>
      <c r="C436" s="88"/>
      <c r="D436" s="88"/>
      <c r="E436" s="88"/>
      <c r="F436" s="196"/>
      <c r="G436" s="196"/>
      <c r="H436" s="196"/>
      <c r="I436" s="196"/>
      <c r="J436" s="196"/>
      <c r="K436" s="196"/>
      <c r="L436" s="196"/>
      <c r="M436" s="196"/>
      <c r="N436" s="196"/>
      <c r="O436" s="196"/>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row>
    <row r="437" spans="1:45" ht="15.75" customHeight="1">
      <c r="A437" s="196"/>
      <c r="B437" s="196"/>
      <c r="C437" s="88"/>
      <c r="D437" s="88"/>
      <c r="E437" s="88"/>
      <c r="F437" s="196"/>
      <c r="G437" s="196"/>
      <c r="H437" s="196"/>
      <c r="I437" s="196"/>
      <c r="J437" s="196"/>
      <c r="K437" s="196"/>
      <c r="L437" s="196"/>
      <c r="M437" s="196"/>
      <c r="N437" s="196"/>
      <c r="O437" s="196"/>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row>
    <row r="438" spans="1:45" ht="15.75" customHeight="1">
      <c r="A438" s="196"/>
      <c r="B438" s="196"/>
      <c r="C438" s="88"/>
      <c r="D438" s="88"/>
      <c r="E438" s="88"/>
      <c r="F438" s="196"/>
      <c r="G438" s="196"/>
      <c r="H438" s="196"/>
      <c r="I438" s="196"/>
      <c r="J438" s="196"/>
      <c r="K438" s="196"/>
      <c r="L438" s="196"/>
      <c r="M438" s="196"/>
      <c r="N438" s="196"/>
      <c r="O438" s="196"/>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row>
    <row r="439" spans="1:45" ht="15.75" customHeight="1">
      <c r="A439" s="196"/>
      <c r="B439" s="196"/>
      <c r="C439" s="88"/>
      <c r="D439" s="88"/>
      <c r="E439" s="88"/>
      <c r="F439" s="196"/>
      <c r="G439" s="196"/>
      <c r="H439" s="196"/>
      <c r="I439" s="196"/>
      <c r="J439" s="196"/>
      <c r="K439" s="196"/>
      <c r="L439" s="196"/>
      <c r="M439" s="196"/>
      <c r="N439" s="196"/>
      <c r="O439" s="196"/>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row>
    <row r="440" spans="1:45" ht="15.75" customHeight="1">
      <c r="A440" s="196"/>
      <c r="B440" s="196"/>
      <c r="C440" s="88"/>
      <c r="D440" s="88"/>
      <c r="E440" s="88"/>
      <c r="F440" s="196"/>
      <c r="G440" s="196"/>
      <c r="H440" s="196"/>
      <c r="I440" s="196"/>
      <c r="J440" s="196"/>
      <c r="K440" s="196"/>
      <c r="L440" s="196"/>
      <c r="M440" s="196"/>
      <c r="N440" s="196"/>
      <c r="O440" s="196"/>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row>
    <row r="441" spans="1:45" ht="15.75" customHeight="1">
      <c r="A441" s="196"/>
      <c r="B441" s="196"/>
      <c r="C441" s="88"/>
      <c r="D441" s="88"/>
      <c r="E441" s="88"/>
      <c r="F441" s="196"/>
      <c r="G441" s="196"/>
      <c r="H441" s="196"/>
      <c r="I441" s="196"/>
      <c r="J441" s="196"/>
      <c r="K441" s="196"/>
      <c r="L441" s="196"/>
      <c r="M441" s="196"/>
      <c r="N441" s="196"/>
      <c r="O441" s="196"/>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row>
    <row r="442" spans="1:45" ht="15.75" customHeight="1">
      <c r="A442" s="196"/>
      <c r="B442" s="196"/>
      <c r="C442" s="88"/>
      <c r="D442" s="88"/>
      <c r="E442" s="88"/>
      <c r="F442" s="196"/>
      <c r="G442" s="196"/>
      <c r="H442" s="196"/>
      <c r="I442" s="196"/>
      <c r="J442" s="196"/>
      <c r="K442" s="196"/>
      <c r="L442" s="196"/>
      <c r="M442" s="196"/>
      <c r="N442" s="196"/>
      <c r="O442" s="196"/>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row>
    <row r="443" spans="1:45" ht="15.75" customHeight="1">
      <c r="A443" s="196"/>
      <c r="B443" s="196"/>
      <c r="C443" s="88"/>
      <c r="D443" s="88"/>
      <c r="E443" s="88"/>
      <c r="F443" s="196"/>
      <c r="G443" s="196"/>
      <c r="H443" s="196"/>
      <c r="I443" s="196"/>
      <c r="J443" s="196"/>
      <c r="K443" s="196"/>
      <c r="L443" s="196"/>
      <c r="M443" s="196"/>
      <c r="N443" s="196"/>
      <c r="O443" s="196"/>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row>
    <row r="444" spans="1:45" ht="15.75" customHeight="1">
      <c r="A444" s="196"/>
      <c r="B444" s="196"/>
      <c r="C444" s="88"/>
      <c r="D444" s="88"/>
      <c r="E444" s="88"/>
      <c r="F444" s="196"/>
      <c r="G444" s="196"/>
      <c r="H444" s="196"/>
      <c r="I444" s="196"/>
      <c r="J444" s="196"/>
      <c r="K444" s="196"/>
      <c r="L444" s="196"/>
      <c r="M444" s="196"/>
      <c r="N444" s="196"/>
      <c r="O444" s="196"/>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row>
    <row r="445" spans="1:45" ht="15.75" customHeight="1">
      <c r="A445" s="196"/>
      <c r="B445" s="196"/>
      <c r="C445" s="88"/>
      <c r="D445" s="88"/>
      <c r="E445" s="88"/>
      <c r="F445" s="196"/>
      <c r="G445" s="196"/>
      <c r="H445" s="196"/>
      <c r="I445" s="196"/>
      <c r="J445" s="196"/>
      <c r="K445" s="196"/>
      <c r="L445" s="196"/>
      <c r="M445" s="196"/>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row>
    <row r="446" spans="1:45" ht="15.75" customHeight="1">
      <c r="A446" s="196"/>
      <c r="B446" s="196"/>
      <c r="C446" s="88"/>
      <c r="D446" s="88"/>
      <c r="E446" s="88"/>
      <c r="F446" s="196"/>
      <c r="G446" s="196"/>
      <c r="H446" s="196"/>
      <c r="I446" s="196"/>
      <c r="J446" s="196"/>
      <c r="K446" s="196"/>
      <c r="L446" s="196"/>
      <c r="M446" s="196"/>
      <c r="N446" s="196"/>
      <c r="O446" s="196"/>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row>
    <row r="447" spans="1:45" ht="15.75" customHeight="1">
      <c r="A447" s="196"/>
      <c r="B447" s="196"/>
      <c r="C447" s="88"/>
      <c r="D447" s="88"/>
      <c r="E447" s="88"/>
      <c r="F447" s="196"/>
      <c r="G447" s="196"/>
      <c r="H447" s="196"/>
      <c r="I447" s="196"/>
      <c r="J447" s="196"/>
      <c r="K447" s="196"/>
      <c r="L447" s="196"/>
      <c r="M447" s="196"/>
      <c r="N447" s="196"/>
      <c r="O447" s="196"/>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row>
    <row r="448" spans="1:45" ht="15.75" customHeight="1">
      <c r="A448" s="196"/>
      <c r="B448" s="196"/>
      <c r="C448" s="88"/>
      <c r="D448" s="88"/>
      <c r="E448" s="88"/>
      <c r="F448" s="196"/>
      <c r="G448" s="196"/>
      <c r="H448" s="196"/>
      <c r="I448" s="196"/>
      <c r="J448" s="196"/>
      <c r="K448" s="196"/>
      <c r="L448" s="196"/>
      <c r="M448" s="196"/>
      <c r="N448" s="196"/>
      <c r="O448" s="196"/>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row>
    <row r="449" spans="1:45" ht="15.75" customHeight="1">
      <c r="A449" s="196"/>
      <c r="B449" s="196"/>
      <c r="C449" s="88"/>
      <c r="D449" s="88"/>
      <c r="E449" s="88"/>
      <c r="F449" s="196"/>
      <c r="G449" s="196"/>
      <c r="H449" s="196"/>
      <c r="I449" s="196"/>
      <c r="J449" s="196"/>
      <c r="K449" s="196"/>
      <c r="L449" s="196"/>
      <c r="M449" s="196"/>
      <c r="N449" s="196"/>
      <c r="O449" s="196"/>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row>
    <row r="450" spans="1:45" ht="15.75" customHeight="1">
      <c r="A450" s="196"/>
      <c r="B450" s="196"/>
      <c r="C450" s="88"/>
      <c r="D450" s="88"/>
      <c r="E450" s="88"/>
      <c r="F450" s="196"/>
      <c r="G450" s="196"/>
      <c r="H450" s="196"/>
      <c r="I450" s="196"/>
      <c r="J450" s="196"/>
      <c r="K450" s="196"/>
      <c r="L450" s="196"/>
      <c r="M450" s="196"/>
      <c r="N450" s="196"/>
      <c r="O450" s="196"/>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row>
    <row r="451" spans="1:45" ht="15.75" customHeight="1">
      <c r="A451" s="196"/>
      <c r="B451" s="196"/>
      <c r="C451" s="88"/>
      <c r="D451" s="88"/>
      <c r="E451" s="88"/>
      <c r="F451" s="196"/>
      <c r="G451" s="196"/>
      <c r="H451" s="196"/>
      <c r="I451" s="196"/>
      <c r="J451" s="196"/>
      <c r="K451" s="196"/>
      <c r="L451" s="196"/>
      <c r="M451" s="196"/>
      <c r="N451" s="196"/>
      <c r="O451" s="196"/>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row>
    <row r="452" spans="1:45" ht="15.75" customHeight="1">
      <c r="A452" s="196"/>
      <c r="B452" s="196"/>
      <c r="C452" s="88"/>
      <c r="D452" s="88"/>
      <c r="E452" s="88"/>
      <c r="F452" s="196"/>
      <c r="G452" s="196"/>
      <c r="H452" s="196"/>
      <c r="I452" s="196"/>
      <c r="J452" s="196"/>
      <c r="K452" s="196"/>
      <c r="L452" s="196"/>
      <c r="M452" s="196"/>
      <c r="N452" s="196"/>
      <c r="O452" s="196"/>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row>
    <row r="453" spans="1:45" ht="15.75" customHeight="1">
      <c r="A453" s="196"/>
      <c r="B453" s="196"/>
      <c r="C453" s="88"/>
      <c r="D453" s="88"/>
      <c r="E453" s="88"/>
      <c r="F453" s="196"/>
      <c r="G453" s="196"/>
      <c r="H453" s="196"/>
      <c r="I453" s="196"/>
      <c r="J453" s="196"/>
      <c r="K453" s="196"/>
      <c r="L453" s="196"/>
      <c r="M453" s="196"/>
      <c r="N453" s="196"/>
      <c r="O453" s="196"/>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row>
    <row r="454" spans="1:45" ht="15.75" customHeight="1">
      <c r="A454" s="196"/>
      <c r="B454" s="196"/>
      <c r="C454" s="88"/>
      <c r="D454" s="88"/>
      <c r="E454" s="88"/>
      <c r="F454" s="196"/>
      <c r="G454" s="196"/>
      <c r="H454" s="196"/>
      <c r="I454" s="196"/>
      <c r="J454" s="196"/>
      <c r="K454" s="196"/>
      <c r="L454" s="196"/>
      <c r="M454" s="196"/>
      <c r="N454" s="196"/>
      <c r="O454" s="196"/>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row>
    <row r="455" spans="1:45" ht="15.75" customHeight="1">
      <c r="A455" s="196"/>
      <c r="B455" s="196"/>
      <c r="C455" s="88"/>
      <c r="D455" s="88"/>
      <c r="E455" s="88"/>
      <c r="F455" s="196"/>
      <c r="G455" s="196"/>
      <c r="H455" s="196"/>
      <c r="I455" s="196"/>
      <c r="J455" s="196"/>
      <c r="K455" s="196"/>
      <c r="L455" s="196"/>
      <c r="M455" s="196"/>
      <c r="N455" s="196"/>
      <c r="O455" s="196"/>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row>
    <row r="456" spans="1:45" ht="15.75" customHeight="1">
      <c r="A456" s="196"/>
      <c r="B456" s="196"/>
      <c r="C456" s="88"/>
      <c r="D456" s="88"/>
      <c r="E456" s="88"/>
      <c r="F456" s="196"/>
      <c r="G456" s="196"/>
      <c r="H456" s="196"/>
      <c r="I456" s="196"/>
      <c r="J456" s="196"/>
      <c r="K456" s="196"/>
      <c r="L456" s="196"/>
      <c r="M456" s="196"/>
      <c r="N456" s="196"/>
      <c r="O456" s="196"/>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row>
    <row r="457" spans="1:45" ht="15.75" customHeight="1">
      <c r="A457" s="196"/>
      <c r="B457" s="196"/>
      <c r="C457" s="88"/>
      <c r="D457" s="88"/>
      <c r="E457" s="88"/>
      <c r="F457" s="196"/>
      <c r="G457" s="196"/>
      <c r="H457" s="196"/>
      <c r="I457" s="196"/>
      <c r="J457" s="196"/>
      <c r="K457" s="196"/>
      <c r="L457" s="196"/>
      <c r="M457" s="196"/>
      <c r="N457" s="196"/>
      <c r="O457" s="196"/>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row>
    <row r="458" spans="1:45" ht="15.75" customHeight="1">
      <c r="A458" s="196"/>
      <c r="B458" s="196"/>
      <c r="C458" s="88"/>
      <c r="D458" s="88"/>
      <c r="E458" s="88"/>
      <c r="F458" s="196"/>
      <c r="G458" s="196"/>
      <c r="H458" s="196"/>
      <c r="I458" s="196"/>
      <c r="J458" s="196"/>
      <c r="K458" s="196"/>
      <c r="L458" s="196"/>
      <c r="M458" s="196"/>
      <c r="N458" s="196"/>
      <c r="O458" s="196"/>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row>
    <row r="459" spans="1:45" ht="15.75" customHeight="1">
      <c r="A459" s="196"/>
      <c r="B459" s="196"/>
      <c r="C459" s="88"/>
      <c r="D459" s="88"/>
      <c r="E459" s="88"/>
      <c r="F459" s="196"/>
      <c r="G459" s="196"/>
      <c r="H459" s="196"/>
      <c r="I459" s="196"/>
      <c r="J459" s="196"/>
      <c r="K459" s="196"/>
      <c r="L459" s="196"/>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row>
    <row r="460" spans="1:45" ht="15.75" customHeight="1">
      <c r="A460" s="196"/>
      <c r="B460" s="196"/>
      <c r="C460" s="88"/>
      <c r="D460" s="88"/>
      <c r="E460" s="88"/>
      <c r="F460" s="196"/>
      <c r="G460" s="196"/>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row>
    <row r="461" spans="1:45" ht="15.75" customHeight="1">
      <c r="A461" s="196"/>
      <c r="B461" s="196"/>
      <c r="C461" s="88"/>
      <c r="D461" s="88"/>
      <c r="E461" s="88"/>
      <c r="F461" s="196"/>
      <c r="G461" s="196"/>
      <c r="H461" s="196"/>
      <c r="I461" s="196"/>
      <c r="J461" s="196"/>
      <c r="K461" s="196"/>
      <c r="L461" s="196"/>
      <c r="M461" s="196"/>
      <c r="N461" s="196"/>
      <c r="O461" s="196"/>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row>
    <row r="462" spans="1:45" ht="15.75" customHeight="1">
      <c r="A462" s="196"/>
      <c r="B462" s="196"/>
      <c r="C462" s="88"/>
      <c r="D462" s="88"/>
      <c r="E462" s="88"/>
      <c r="F462" s="196"/>
      <c r="G462" s="196"/>
      <c r="H462" s="196"/>
      <c r="I462" s="196"/>
      <c r="J462" s="196"/>
      <c r="K462" s="196"/>
      <c r="L462" s="196"/>
      <c r="M462" s="196"/>
      <c r="N462" s="196"/>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row>
    <row r="463" spans="1:45" ht="15.75" customHeight="1">
      <c r="A463" s="196"/>
      <c r="B463" s="196"/>
      <c r="C463" s="88"/>
      <c r="D463" s="88"/>
      <c r="E463" s="88"/>
      <c r="F463" s="196"/>
      <c r="G463" s="196"/>
      <c r="H463" s="196"/>
      <c r="I463" s="196"/>
      <c r="J463" s="196"/>
      <c r="K463" s="196"/>
      <c r="L463" s="196"/>
      <c r="M463" s="196"/>
      <c r="N463" s="196"/>
      <c r="O463" s="196"/>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row>
    <row r="464" spans="1:45" ht="15.75" customHeight="1">
      <c r="A464" s="196"/>
      <c r="B464" s="196"/>
      <c r="C464" s="88"/>
      <c r="D464" s="88"/>
      <c r="E464" s="88"/>
      <c r="F464" s="196"/>
      <c r="G464" s="196"/>
      <c r="H464" s="196"/>
      <c r="I464" s="196"/>
      <c r="J464" s="196"/>
      <c r="K464" s="196"/>
      <c r="L464" s="196"/>
      <c r="M464" s="196"/>
      <c r="N464" s="196"/>
      <c r="O464" s="196"/>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row>
    <row r="465" spans="1:45" ht="15.75" customHeight="1">
      <c r="A465" s="196"/>
      <c r="B465" s="196"/>
      <c r="C465" s="88"/>
      <c r="D465" s="88"/>
      <c r="E465" s="88"/>
      <c r="F465" s="196"/>
      <c r="G465" s="196"/>
      <c r="H465" s="196"/>
      <c r="I465" s="196"/>
      <c r="J465" s="196"/>
      <c r="K465" s="196"/>
      <c r="L465" s="196"/>
      <c r="M465" s="196"/>
      <c r="N465" s="196"/>
      <c r="O465" s="196"/>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row>
    <row r="466" spans="1:45" ht="15.75" customHeight="1">
      <c r="A466" s="196"/>
      <c r="B466" s="196"/>
      <c r="C466" s="88"/>
      <c r="D466" s="88"/>
      <c r="E466" s="88"/>
      <c r="F466" s="196"/>
      <c r="G466" s="196"/>
      <c r="H466" s="196"/>
      <c r="I466" s="196"/>
      <c r="J466" s="196"/>
      <c r="K466" s="196"/>
      <c r="L466" s="196"/>
      <c r="M466" s="196"/>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row>
    <row r="467" spans="1:45" ht="15.75" customHeight="1">
      <c r="A467" s="196"/>
      <c r="B467" s="196"/>
      <c r="C467" s="88"/>
      <c r="D467" s="88"/>
      <c r="E467" s="88"/>
      <c r="F467" s="196"/>
      <c r="G467" s="196"/>
      <c r="H467" s="196"/>
      <c r="I467" s="196"/>
      <c r="J467" s="196"/>
      <c r="K467" s="196"/>
      <c r="L467" s="196"/>
      <c r="M467" s="196"/>
      <c r="N467" s="196"/>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row>
    <row r="468" spans="1:45" ht="15.75" customHeight="1">
      <c r="A468" s="196"/>
      <c r="B468" s="196"/>
      <c r="C468" s="88"/>
      <c r="D468" s="88"/>
      <c r="E468" s="88"/>
      <c r="F468" s="196"/>
      <c r="G468" s="196"/>
      <c r="H468" s="196"/>
      <c r="I468" s="196"/>
      <c r="J468" s="196"/>
      <c r="K468" s="196"/>
      <c r="L468" s="196"/>
      <c r="M468" s="196"/>
      <c r="N468" s="196"/>
      <c r="O468" s="196"/>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row>
    <row r="469" spans="1:45" ht="15.75" customHeight="1">
      <c r="A469" s="196"/>
      <c r="B469" s="196"/>
      <c r="C469" s="88"/>
      <c r="D469" s="88"/>
      <c r="E469" s="88"/>
      <c r="F469" s="196"/>
      <c r="G469" s="196"/>
      <c r="H469" s="196"/>
      <c r="I469" s="196"/>
      <c r="J469" s="196"/>
      <c r="K469" s="196"/>
      <c r="L469" s="196"/>
      <c r="M469" s="196"/>
      <c r="N469" s="196"/>
      <c r="O469" s="196"/>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row>
    <row r="470" spans="1:45" ht="15.75" customHeight="1">
      <c r="A470" s="196"/>
      <c r="B470" s="196"/>
      <c r="C470" s="88"/>
      <c r="D470" s="88"/>
      <c r="E470" s="88"/>
      <c r="F470" s="196"/>
      <c r="G470" s="196"/>
      <c r="H470" s="196"/>
      <c r="I470" s="196"/>
      <c r="J470" s="196"/>
      <c r="K470" s="196"/>
      <c r="L470" s="196"/>
      <c r="M470" s="196"/>
      <c r="N470" s="196"/>
      <c r="O470" s="196"/>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row>
    <row r="471" spans="1:45" ht="15.75" customHeight="1">
      <c r="A471" s="196"/>
      <c r="B471" s="196"/>
      <c r="C471" s="88"/>
      <c r="D471" s="88"/>
      <c r="E471" s="88"/>
      <c r="F471" s="196"/>
      <c r="G471" s="196"/>
      <c r="H471" s="196"/>
      <c r="I471" s="196"/>
      <c r="J471" s="196"/>
      <c r="K471" s="196"/>
      <c r="L471" s="196"/>
      <c r="M471" s="196"/>
      <c r="N471" s="196"/>
      <c r="O471" s="196"/>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row>
    <row r="472" spans="1:45" ht="15.75" customHeight="1">
      <c r="A472" s="196"/>
      <c r="B472" s="196"/>
      <c r="C472" s="88"/>
      <c r="D472" s="88"/>
      <c r="E472" s="88"/>
      <c r="F472" s="196"/>
      <c r="G472" s="196"/>
      <c r="H472" s="196"/>
      <c r="I472" s="196"/>
      <c r="J472" s="196"/>
      <c r="K472" s="196"/>
      <c r="L472" s="196"/>
      <c r="M472" s="196"/>
      <c r="N472" s="196"/>
      <c r="O472" s="196"/>
      <c r="P472" s="196"/>
      <c r="Q472" s="196"/>
      <c r="R472" s="196"/>
      <c r="S472" s="196"/>
      <c r="T472" s="196"/>
      <c r="U472" s="196"/>
      <c r="V472" s="196"/>
      <c r="W472" s="196"/>
      <c r="X472" s="196"/>
      <c r="Y472" s="196"/>
      <c r="Z472" s="196"/>
      <c r="AA472" s="196"/>
      <c r="AB472" s="196"/>
      <c r="AC472" s="196"/>
      <c r="AD472" s="196"/>
      <c r="AE472" s="196"/>
      <c r="AF472" s="196"/>
      <c r="AG472" s="196"/>
      <c r="AH472" s="196"/>
      <c r="AI472" s="196"/>
      <c r="AJ472" s="196"/>
      <c r="AK472" s="196"/>
      <c r="AL472" s="196"/>
      <c r="AM472" s="196"/>
      <c r="AN472" s="196"/>
      <c r="AO472" s="196"/>
      <c r="AP472" s="196"/>
      <c r="AQ472" s="196"/>
      <c r="AR472" s="196"/>
      <c r="AS472" s="196"/>
    </row>
    <row r="473" spans="1:45" ht="15.75" customHeight="1">
      <c r="A473" s="196"/>
      <c r="B473" s="196"/>
      <c r="C473" s="88"/>
      <c r="D473" s="88"/>
      <c r="E473" s="88"/>
      <c r="F473" s="196"/>
      <c r="G473" s="196"/>
      <c r="H473" s="196"/>
      <c r="I473" s="196"/>
      <c r="J473" s="196"/>
      <c r="K473" s="196"/>
      <c r="L473" s="196"/>
      <c r="M473" s="196"/>
      <c r="N473" s="196"/>
      <c r="O473" s="196"/>
      <c r="P473" s="196"/>
      <c r="Q473" s="196"/>
      <c r="R473" s="196"/>
      <c r="S473" s="196"/>
      <c r="T473" s="196"/>
      <c r="U473" s="196"/>
      <c r="V473" s="196"/>
      <c r="W473" s="196"/>
      <c r="X473" s="196"/>
      <c r="Y473" s="196"/>
      <c r="Z473" s="196"/>
      <c r="AA473" s="196"/>
      <c r="AB473" s="196"/>
      <c r="AC473" s="196"/>
      <c r="AD473" s="196"/>
      <c r="AE473" s="196"/>
      <c r="AF473" s="196"/>
      <c r="AG473" s="196"/>
      <c r="AH473" s="196"/>
      <c r="AI473" s="196"/>
      <c r="AJ473" s="196"/>
      <c r="AK473" s="196"/>
      <c r="AL473" s="196"/>
      <c r="AM473" s="196"/>
      <c r="AN473" s="196"/>
      <c r="AO473" s="196"/>
      <c r="AP473" s="196"/>
      <c r="AQ473" s="196"/>
      <c r="AR473" s="196"/>
      <c r="AS473" s="196"/>
    </row>
    <row r="474" spans="1:45" ht="15.75" customHeight="1">
      <c r="A474" s="196"/>
      <c r="B474" s="196"/>
      <c r="C474" s="88"/>
      <c r="D474" s="88"/>
      <c r="E474" s="88"/>
      <c r="F474" s="196"/>
      <c r="G474" s="196"/>
      <c r="H474" s="196"/>
      <c r="I474" s="196"/>
      <c r="J474" s="196"/>
      <c r="K474" s="196"/>
      <c r="L474" s="196"/>
      <c r="M474" s="196"/>
      <c r="N474" s="196"/>
      <c r="O474" s="196"/>
      <c r="P474" s="196"/>
      <c r="Q474" s="196"/>
      <c r="R474" s="196"/>
      <c r="S474" s="196"/>
      <c r="T474" s="196"/>
      <c r="U474" s="196"/>
      <c r="V474" s="196"/>
      <c r="W474" s="196"/>
      <c r="X474" s="196"/>
      <c r="Y474" s="196"/>
      <c r="Z474" s="196"/>
      <c r="AA474" s="196"/>
      <c r="AB474" s="196"/>
      <c r="AC474" s="196"/>
      <c r="AD474" s="196"/>
      <c r="AE474" s="196"/>
      <c r="AF474" s="196"/>
      <c r="AG474" s="196"/>
      <c r="AH474" s="196"/>
      <c r="AI474" s="196"/>
      <c r="AJ474" s="196"/>
      <c r="AK474" s="196"/>
      <c r="AL474" s="196"/>
      <c r="AM474" s="196"/>
      <c r="AN474" s="196"/>
      <c r="AO474" s="196"/>
      <c r="AP474" s="196"/>
      <c r="AQ474" s="196"/>
      <c r="AR474" s="196"/>
      <c r="AS474" s="196"/>
    </row>
    <row r="475" spans="1:45" ht="15.75" customHeight="1">
      <c r="A475" s="196"/>
      <c r="B475" s="196"/>
      <c r="C475" s="88"/>
      <c r="D475" s="88"/>
      <c r="E475" s="88"/>
      <c r="F475" s="196"/>
      <c r="G475" s="196"/>
      <c r="H475" s="196"/>
      <c r="I475" s="196"/>
      <c r="J475" s="196"/>
      <c r="K475" s="196"/>
      <c r="L475" s="196"/>
      <c r="M475" s="196"/>
      <c r="N475" s="196"/>
      <c r="O475" s="196"/>
      <c r="P475" s="196"/>
      <c r="Q475" s="196"/>
      <c r="R475" s="196"/>
      <c r="S475" s="196"/>
      <c r="T475" s="196"/>
      <c r="U475" s="196"/>
      <c r="V475" s="196"/>
      <c r="W475" s="196"/>
      <c r="X475" s="196"/>
      <c r="Y475" s="196"/>
      <c r="Z475" s="196"/>
      <c r="AA475" s="196"/>
      <c r="AB475" s="196"/>
      <c r="AC475" s="196"/>
      <c r="AD475" s="196"/>
      <c r="AE475" s="196"/>
      <c r="AF475" s="196"/>
      <c r="AG475" s="196"/>
      <c r="AH475" s="196"/>
      <c r="AI475" s="196"/>
      <c r="AJ475" s="196"/>
      <c r="AK475" s="196"/>
      <c r="AL475" s="196"/>
      <c r="AM475" s="196"/>
      <c r="AN475" s="196"/>
      <c r="AO475" s="196"/>
      <c r="AP475" s="196"/>
      <c r="AQ475" s="196"/>
      <c r="AR475" s="196"/>
      <c r="AS475" s="196"/>
    </row>
    <row r="476" spans="1:45" ht="15.75" customHeight="1">
      <c r="A476" s="196"/>
      <c r="B476" s="196"/>
      <c r="C476" s="88"/>
      <c r="D476" s="88"/>
      <c r="E476" s="88"/>
      <c r="F476" s="196"/>
      <c r="G476" s="196"/>
      <c r="H476" s="196"/>
      <c r="I476" s="196"/>
      <c r="J476" s="196"/>
      <c r="K476" s="196"/>
      <c r="L476" s="196"/>
      <c r="M476" s="196"/>
      <c r="N476" s="196"/>
      <c r="O476" s="196"/>
      <c r="P476" s="196"/>
      <c r="Q476" s="196"/>
      <c r="R476" s="196"/>
      <c r="S476" s="196"/>
      <c r="T476" s="196"/>
      <c r="U476" s="196"/>
      <c r="V476" s="196"/>
      <c r="W476" s="196"/>
      <c r="X476" s="196"/>
      <c r="Y476" s="196"/>
      <c r="Z476" s="196"/>
      <c r="AA476" s="196"/>
      <c r="AB476" s="196"/>
      <c r="AC476" s="196"/>
      <c r="AD476" s="196"/>
      <c r="AE476" s="196"/>
      <c r="AF476" s="196"/>
      <c r="AG476" s="196"/>
      <c r="AH476" s="196"/>
      <c r="AI476" s="196"/>
      <c r="AJ476" s="196"/>
      <c r="AK476" s="196"/>
      <c r="AL476" s="196"/>
      <c r="AM476" s="196"/>
      <c r="AN476" s="196"/>
      <c r="AO476" s="196"/>
      <c r="AP476" s="196"/>
      <c r="AQ476" s="196"/>
      <c r="AR476" s="196"/>
      <c r="AS476" s="196"/>
    </row>
    <row r="477" spans="1:45" ht="15.75" customHeight="1">
      <c r="A477" s="196"/>
      <c r="B477" s="196"/>
      <c r="C477" s="88"/>
      <c r="D477" s="88"/>
      <c r="E477" s="88"/>
      <c r="F477" s="196"/>
      <c r="G477" s="196"/>
      <c r="H477" s="196"/>
      <c r="I477" s="196"/>
      <c r="J477" s="196"/>
      <c r="K477" s="196"/>
      <c r="L477" s="196"/>
      <c r="M477" s="196"/>
      <c r="N477" s="196"/>
      <c r="O477" s="196"/>
      <c r="P477" s="196"/>
      <c r="Q477" s="196"/>
      <c r="R477" s="196"/>
      <c r="S477" s="196"/>
      <c r="T477" s="196"/>
      <c r="U477" s="196"/>
      <c r="V477" s="196"/>
      <c r="W477" s="196"/>
      <c r="X477" s="196"/>
      <c r="Y477" s="196"/>
      <c r="Z477" s="196"/>
      <c r="AA477" s="196"/>
      <c r="AB477" s="196"/>
      <c r="AC477" s="196"/>
      <c r="AD477" s="196"/>
      <c r="AE477" s="196"/>
      <c r="AF477" s="196"/>
      <c r="AG477" s="196"/>
      <c r="AH477" s="196"/>
      <c r="AI477" s="196"/>
      <c r="AJ477" s="196"/>
      <c r="AK477" s="196"/>
      <c r="AL477" s="196"/>
      <c r="AM477" s="196"/>
      <c r="AN477" s="196"/>
      <c r="AO477" s="196"/>
      <c r="AP477" s="196"/>
      <c r="AQ477" s="196"/>
      <c r="AR477" s="196"/>
      <c r="AS477" s="196"/>
    </row>
    <row r="478" spans="1:45" ht="15.75" customHeight="1">
      <c r="A478" s="196"/>
      <c r="B478" s="196"/>
      <c r="C478" s="88"/>
      <c r="D478" s="88"/>
      <c r="E478" s="88"/>
      <c r="F478" s="196"/>
      <c r="G478" s="196"/>
      <c r="H478" s="196"/>
      <c r="I478" s="196"/>
      <c r="J478" s="196"/>
      <c r="K478" s="196"/>
      <c r="L478" s="196"/>
      <c r="M478" s="196"/>
      <c r="N478" s="196"/>
      <c r="O478" s="196"/>
      <c r="P478" s="196"/>
      <c r="Q478" s="196"/>
      <c r="R478" s="196"/>
      <c r="S478" s="196"/>
      <c r="T478" s="196"/>
      <c r="U478" s="196"/>
      <c r="V478" s="196"/>
      <c r="W478" s="196"/>
      <c r="X478" s="196"/>
      <c r="Y478" s="196"/>
      <c r="Z478" s="196"/>
      <c r="AA478" s="196"/>
      <c r="AB478" s="196"/>
      <c r="AC478" s="196"/>
      <c r="AD478" s="196"/>
      <c r="AE478" s="196"/>
      <c r="AF478" s="196"/>
      <c r="AG478" s="196"/>
      <c r="AH478" s="196"/>
      <c r="AI478" s="196"/>
      <c r="AJ478" s="196"/>
      <c r="AK478" s="196"/>
      <c r="AL478" s="196"/>
      <c r="AM478" s="196"/>
      <c r="AN478" s="196"/>
      <c r="AO478" s="196"/>
      <c r="AP478" s="196"/>
      <c r="AQ478" s="196"/>
      <c r="AR478" s="196"/>
      <c r="AS478" s="196"/>
    </row>
    <row r="479" spans="1:45" ht="15.75" customHeight="1">
      <c r="A479" s="196"/>
      <c r="B479" s="196"/>
      <c r="C479" s="88"/>
      <c r="D479" s="88"/>
      <c r="E479" s="88"/>
      <c r="F479" s="196"/>
      <c r="G479" s="196"/>
      <c r="H479" s="196"/>
      <c r="I479" s="196"/>
      <c r="J479" s="196"/>
      <c r="K479" s="196"/>
      <c r="L479" s="196"/>
      <c r="M479" s="196"/>
      <c r="N479" s="196"/>
      <c r="O479" s="196"/>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row>
    <row r="480" spans="1:45" ht="15.75" customHeight="1">
      <c r="A480" s="196"/>
      <c r="B480" s="196"/>
      <c r="C480" s="88"/>
      <c r="D480" s="88"/>
      <c r="E480" s="88"/>
      <c r="F480" s="196"/>
      <c r="G480" s="196"/>
      <c r="H480" s="196"/>
      <c r="I480" s="196"/>
      <c r="J480" s="196"/>
      <c r="K480" s="196"/>
      <c r="L480" s="196"/>
      <c r="M480" s="196"/>
      <c r="N480" s="196"/>
      <c r="O480" s="196"/>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row>
    <row r="481" spans="1:45" ht="15.75" customHeight="1">
      <c r="A481" s="196"/>
      <c r="B481" s="196"/>
      <c r="C481" s="88"/>
      <c r="D481" s="88"/>
      <c r="E481" s="88"/>
      <c r="F481" s="196"/>
      <c r="G481" s="196"/>
      <c r="H481" s="196"/>
      <c r="I481" s="196"/>
      <c r="J481" s="196"/>
      <c r="K481" s="196"/>
      <c r="L481" s="196"/>
      <c r="M481" s="196"/>
      <c r="N481" s="196"/>
      <c r="O481" s="196"/>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row>
    <row r="482" spans="1:45" ht="15.75" customHeight="1">
      <c r="A482" s="196"/>
      <c r="B482" s="196"/>
      <c r="C482" s="88"/>
      <c r="D482" s="88"/>
      <c r="E482" s="88"/>
      <c r="F482" s="196"/>
      <c r="G482" s="196"/>
      <c r="H482" s="196"/>
      <c r="I482" s="196"/>
      <c r="J482" s="196"/>
      <c r="K482" s="196"/>
      <c r="L482" s="196"/>
      <c r="M482" s="196"/>
      <c r="N482" s="196"/>
      <c r="O482" s="196"/>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row>
    <row r="483" spans="1:45" ht="15.75" customHeight="1">
      <c r="A483" s="196"/>
      <c r="B483" s="196"/>
      <c r="C483" s="88"/>
      <c r="D483" s="88"/>
      <c r="E483" s="88"/>
      <c r="F483" s="196"/>
      <c r="G483" s="196"/>
      <c r="H483" s="196"/>
      <c r="I483" s="196"/>
      <c r="J483" s="196"/>
      <c r="K483" s="196"/>
      <c r="L483" s="196"/>
      <c r="M483" s="196"/>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row>
    <row r="484" spans="1:45" ht="15.75" customHeight="1">
      <c r="A484" s="196"/>
      <c r="B484" s="196"/>
      <c r="C484" s="88"/>
      <c r="D484" s="88"/>
      <c r="E484" s="88"/>
      <c r="F484" s="196"/>
      <c r="G484" s="196"/>
      <c r="H484" s="196"/>
      <c r="I484" s="196"/>
      <c r="J484" s="196"/>
      <c r="K484" s="196"/>
      <c r="L484" s="196"/>
      <c r="M484" s="196"/>
      <c r="N484" s="196"/>
      <c r="O484" s="196"/>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row>
    <row r="485" spans="1:45" ht="15.75" customHeight="1">
      <c r="A485" s="196"/>
      <c r="B485" s="196"/>
      <c r="C485" s="88"/>
      <c r="D485" s="88"/>
      <c r="E485" s="88"/>
      <c r="F485" s="196"/>
      <c r="G485" s="196"/>
      <c r="H485" s="196"/>
      <c r="I485" s="196"/>
      <c r="J485" s="196"/>
      <c r="K485" s="196"/>
      <c r="L485" s="196"/>
      <c r="M485" s="196"/>
      <c r="N485" s="196"/>
      <c r="O485" s="196"/>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row>
    <row r="486" spans="1:45" ht="15.75" customHeight="1">
      <c r="A486" s="196"/>
      <c r="B486" s="196"/>
      <c r="C486" s="88"/>
      <c r="D486" s="88"/>
      <c r="E486" s="88"/>
      <c r="F486" s="196"/>
      <c r="G486" s="196"/>
      <c r="H486" s="196"/>
      <c r="I486" s="196"/>
      <c r="J486" s="196"/>
      <c r="K486" s="196"/>
      <c r="L486" s="196"/>
      <c r="M486" s="196"/>
      <c r="N486" s="196"/>
      <c r="O486" s="196"/>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row>
    <row r="487" spans="1:45" ht="15.75" customHeight="1">
      <c r="A487" s="196"/>
      <c r="B487" s="196"/>
      <c r="C487" s="88"/>
      <c r="D487" s="88"/>
      <c r="E487" s="88"/>
      <c r="F487" s="196"/>
      <c r="G487" s="196"/>
      <c r="H487" s="196"/>
      <c r="I487" s="196"/>
      <c r="J487" s="196"/>
      <c r="K487" s="196"/>
      <c r="L487" s="196"/>
      <c r="M487" s="196"/>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row>
    <row r="488" spans="1:45" ht="15.75" customHeight="1">
      <c r="A488" s="196"/>
      <c r="B488" s="196"/>
      <c r="C488" s="88"/>
      <c r="D488" s="88"/>
      <c r="E488" s="88"/>
      <c r="F488" s="196"/>
      <c r="G488" s="196"/>
      <c r="H488" s="196"/>
      <c r="I488" s="196"/>
      <c r="J488" s="196"/>
      <c r="K488" s="196"/>
      <c r="L488" s="196"/>
      <c r="M488" s="196"/>
      <c r="N488" s="196"/>
      <c r="O488" s="196"/>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row>
    <row r="489" spans="1:45" ht="15.75" customHeight="1">
      <c r="A489" s="196"/>
      <c r="B489" s="196"/>
      <c r="C489" s="88"/>
      <c r="D489" s="88"/>
      <c r="E489" s="88"/>
      <c r="F489" s="196"/>
      <c r="G489" s="196"/>
      <c r="H489" s="196"/>
      <c r="I489" s="196"/>
      <c r="J489" s="196"/>
      <c r="K489" s="196"/>
      <c r="L489" s="196"/>
      <c r="M489" s="196"/>
      <c r="N489" s="196"/>
      <c r="O489" s="196"/>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row>
    <row r="490" spans="1:45" ht="15.75" customHeight="1">
      <c r="A490" s="196"/>
      <c r="B490" s="196"/>
      <c r="C490" s="88"/>
      <c r="D490" s="88"/>
      <c r="E490" s="88"/>
      <c r="F490" s="196"/>
      <c r="G490" s="196"/>
      <c r="H490" s="196"/>
      <c r="I490" s="196"/>
      <c r="J490" s="196"/>
      <c r="K490" s="196"/>
      <c r="L490" s="196"/>
      <c r="M490" s="196"/>
      <c r="N490" s="196"/>
      <c r="O490" s="196"/>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row>
    <row r="491" spans="1:45" ht="15.75" customHeight="1">
      <c r="A491" s="196"/>
      <c r="B491" s="196"/>
      <c r="C491" s="88"/>
      <c r="D491" s="88"/>
      <c r="E491" s="88"/>
      <c r="F491" s="196"/>
      <c r="G491" s="196"/>
      <c r="H491" s="196"/>
      <c r="I491" s="196"/>
      <c r="J491" s="196"/>
      <c r="K491" s="196"/>
      <c r="L491" s="196"/>
      <c r="M491" s="196"/>
      <c r="N491" s="196"/>
      <c r="O491" s="196"/>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row>
    <row r="492" spans="1:45" ht="15.75" customHeight="1">
      <c r="A492" s="196"/>
      <c r="B492" s="196"/>
      <c r="C492" s="88"/>
      <c r="D492" s="88"/>
      <c r="E492" s="88"/>
      <c r="F492" s="196"/>
      <c r="G492" s="196"/>
      <c r="H492" s="196"/>
      <c r="I492" s="196"/>
      <c r="J492" s="196"/>
      <c r="K492" s="196"/>
      <c r="L492" s="196"/>
      <c r="M492" s="196"/>
      <c r="N492" s="196"/>
      <c r="O492" s="196"/>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row>
    <row r="493" spans="1:45" ht="15.75" customHeight="1">
      <c r="A493" s="196"/>
      <c r="B493" s="196"/>
      <c r="C493" s="88"/>
      <c r="D493" s="88"/>
      <c r="E493" s="88"/>
      <c r="F493" s="196"/>
      <c r="G493" s="196"/>
      <c r="H493" s="196"/>
      <c r="I493" s="196"/>
      <c r="J493" s="196"/>
      <c r="K493" s="196"/>
      <c r="L493" s="196"/>
      <c r="M493" s="196"/>
      <c r="N493" s="196"/>
      <c r="O493" s="196"/>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row>
    <row r="494" spans="1:45" ht="15.75" customHeight="1">
      <c r="A494" s="196"/>
      <c r="B494" s="196"/>
      <c r="C494" s="88"/>
      <c r="D494" s="88"/>
      <c r="E494" s="88"/>
      <c r="F494" s="196"/>
      <c r="G494" s="196"/>
      <c r="H494" s="196"/>
      <c r="I494" s="196"/>
      <c r="J494" s="196"/>
      <c r="K494" s="196"/>
      <c r="L494" s="196"/>
      <c r="M494" s="196"/>
      <c r="N494" s="196"/>
      <c r="O494" s="196"/>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row>
    <row r="495" spans="1:45" ht="15.75" customHeight="1">
      <c r="A495" s="196"/>
      <c r="B495" s="196"/>
      <c r="C495" s="88"/>
      <c r="D495" s="88"/>
      <c r="E495" s="88"/>
      <c r="F495" s="196"/>
      <c r="G495" s="196"/>
      <c r="H495" s="196"/>
      <c r="I495" s="196"/>
      <c r="J495" s="196"/>
      <c r="K495" s="196"/>
      <c r="L495" s="196"/>
      <c r="M495" s="196"/>
      <c r="N495" s="196"/>
      <c r="O495" s="196"/>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row>
    <row r="496" spans="1:45" ht="15.75" customHeight="1">
      <c r="A496" s="196"/>
      <c r="B496" s="196"/>
      <c r="C496" s="88"/>
      <c r="D496" s="88"/>
      <c r="E496" s="88"/>
      <c r="F496" s="196"/>
      <c r="G496" s="196"/>
      <c r="H496" s="196"/>
      <c r="I496" s="196"/>
      <c r="J496" s="196"/>
      <c r="K496" s="196"/>
      <c r="L496" s="196"/>
      <c r="M496" s="196"/>
      <c r="N496" s="196"/>
      <c r="O496" s="196"/>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row>
    <row r="497" spans="1:45" ht="15.75" customHeight="1">
      <c r="A497" s="196"/>
      <c r="B497" s="196"/>
      <c r="C497" s="88"/>
      <c r="D497" s="88"/>
      <c r="E497" s="88"/>
      <c r="F497" s="196"/>
      <c r="G497" s="196"/>
      <c r="H497" s="196"/>
      <c r="I497" s="196"/>
      <c r="J497" s="196"/>
      <c r="K497" s="196"/>
      <c r="L497" s="196"/>
      <c r="M497" s="196"/>
      <c r="N497" s="196"/>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row>
    <row r="498" spans="1:45" ht="15.75" customHeight="1">
      <c r="A498" s="196"/>
      <c r="B498" s="196"/>
      <c r="C498" s="88"/>
      <c r="D498" s="88"/>
      <c r="E498" s="88"/>
      <c r="F498" s="196"/>
      <c r="G498" s="196"/>
      <c r="H498" s="196"/>
      <c r="I498" s="196"/>
      <c r="J498" s="196"/>
      <c r="K498" s="196"/>
      <c r="L498" s="196"/>
      <c r="M498" s="196"/>
      <c r="N498" s="196"/>
      <c r="O498" s="196"/>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row>
    <row r="499" spans="1:45" ht="15.75" customHeight="1">
      <c r="A499" s="196"/>
      <c r="B499" s="196"/>
      <c r="C499" s="88"/>
      <c r="D499" s="88"/>
      <c r="E499" s="88"/>
      <c r="F499" s="196"/>
      <c r="G499" s="196"/>
      <c r="H499" s="196"/>
      <c r="I499" s="196"/>
      <c r="J499" s="196"/>
      <c r="K499" s="196"/>
      <c r="L499" s="196"/>
      <c r="M499" s="196"/>
      <c r="N499" s="196"/>
      <c r="O499" s="196"/>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row>
    <row r="500" spans="1:45" ht="15.75" customHeight="1">
      <c r="A500" s="196"/>
      <c r="B500" s="196"/>
      <c r="C500" s="88"/>
      <c r="D500" s="88"/>
      <c r="E500" s="88"/>
      <c r="F500" s="196"/>
      <c r="G500" s="196"/>
      <c r="H500" s="196"/>
      <c r="I500" s="196"/>
      <c r="J500" s="196"/>
      <c r="K500" s="196"/>
      <c r="L500" s="196"/>
      <c r="M500" s="196"/>
      <c r="N500" s="196"/>
      <c r="O500" s="196"/>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row>
    <row r="501" spans="1:45" ht="15.75" customHeight="1">
      <c r="A501" s="196"/>
      <c r="B501" s="196"/>
      <c r="C501" s="88"/>
      <c r="D501" s="88"/>
      <c r="E501" s="88"/>
      <c r="F501" s="196"/>
      <c r="G501" s="196"/>
      <c r="H501" s="196"/>
      <c r="I501" s="196"/>
      <c r="J501" s="196"/>
      <c r="K501" s="196"/>
      <c r="L501" s="196"/>
      <c r="M501" s="196"/>
      <c r="N501" s="196"/>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row>
    <row r="502" spans="1:45" ht="15.75" customHeight="1">
      <c r="A502" s="196"/>
      <c r="B502" s="196"/>
      <c r="C502" s="88"/>
      <c r="D502" s="88"/>
      <c r="E502" s="88"/>
      <c r="F502" s="196"/>
      <c r="G502" s="196"/>
      <c r="H502" s="196"/>
      <c r="I502" s="196"/>
      <c r="J502" s="196"/>
      <c r="K502" s="196"/>
      <c r="L502" s="196"/>
      <c r="M502" s="196"/>
      <c r="N502" s="196"/>
      <c r="O502" s="196"/>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row>
    <row r="503" spans="1:45" ht="15.75" customHeight="1">
      <c r="A503" s="196"/>
      <c r="B503" s="196"/>
      <c r="C503" s="88"/>
      <c r="D503" s="88"/>
      <c r="E503" s="88"/>
      <c r="F503" s="196"/>
      <c r="G503" s="196"/>
      <c r="H503" s="196"/>
      <c r="I503" s="196"/>
      <c r="J503" s="196"/>
      <c r="K503" s="196"/>
      <c r="L503" s="196"/>
      <c r="M503" s="196"/>
      <c r="N503" s="196"/>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row>
    <row r="504" spans="1:45" ht="15.75" customHeight="1">
      <c r="A504" s="196"/>
      <c r="B504" s="196"/>
      <c r="C504" s="88"/>
      <c r="D504" s="88"/>
      <c r="E504" s="88"/>
      <c r="F504" s="196"/>
      <c r="G504" s="196"/>
      <c r="H504" s="196"/>
      <c r="I504" s="196"/>
      <c r="J504" s="196"/>
      <c r="K504" s="196"/>
      <c r="L504" s="196"/>
      <c r="M504" s="196"/>
      <c r="N504" s="196"/>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row>
    <row r="505" spans="1:45" ht="15.75" customHeight="1">
      <c r="A505" s="196"/>
      <c r="B505" s="196"/>
      <c r="C505" s="88"/>
      <c r="D505" s="88"/>
      <c r="E505" s="88"/>
      <c r="F505" s="196"/>
      <c r="G505" s="196"/>
      <c r="H505" s="196"/>
      <c r="I505" s="196"/>
      <c r="J505" s="196"/>
      <c r="K505" s="196"/>
      <c r="L505" s="196"/>
      <c r="M505" s="196"/>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row>
    <row r="506" spans="1:45" ht="15.75" customHeight="1">
      <c r="A506" s="196"/>
      <c r="B506" s="196"/>
      <c r="C506" s="88"/>
      <c r="D506" s="88"/>
      <c r="E506" s="88"/>
      <c r="F506" s="196"/>
      <c r="G506" s="196"/>
      <c r="H506" s="196"/>
      <c r="I506" s="196"/>
      <c r="J506" s="196"/>
      <c r="K506" s="196"/>
      <c r="L506" s="196"/>
      <c r="M506" s="196"/>
      <c r="N506" s="196"/>
      <c r="O506" s="196"/>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row>
    <row r="507" spans="1:45" ht="15.75" customHeight="1">
      <c r="A507" s="196"/>
      <c r="B507" s="196"/>
      <c r="C507" s="88"/>
      <c r="D507" s="88"/>
      <c r="E507" s="88"/>
      <c r="F507" s="196"/>
      <c r="G507" s="196"/>
      <c r="H507" s="196"/>
      <c r="I507" s="196"/>
      <c r="J507" s="196"/>
      <c r="K507" s="196"/>
      <c r="L507" s="196"/>
      <c r="M507" s="196"/>
      <c r="N507" s="196"/>
      <c r="O507" s="196"/>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row>
    <row r="508" spans="1:45" ht="15.75" customHeight="1">
      <c r="A508" s="196"/>
      <c r="B508" s="196"/>
      <c r="C508" s="88"/>
      <c r="D508" s="88"/>
      <c r="E508" s="88"/>
      <c r="F508" s="196"/>
      <c r="G508" s="196"/>
      <c r="H508" s="196"/>
      <c r="I508" s="196"/>
      <c r="J508" s="196"/>
      <c r="K508" s="196"/>
      <c r="L508" s="196"/>
      <c r="M508" s="196"/>
      <c r="N508" s="196"/>
      <c r="O508" s="196"/>
      <c r="P508" s="196"/>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6"/>
      <c r="AN508" s="196"/>
      <c r="AO508" s="196"/>
      <c r="AP508" s="196"/>
      <c r="AQ508" s="196"/>
      <c r="AR508" s="196"/>
      <c r="AS508" s="196"/>
    </row>
    <row r="509" spans="1:45" ht="15.75" customHeight="1">
      <c r="A509" s="196"/>
      <c r="B509" s="196"/>
      <c r="C509" s="88"/>
      <c r="D509" s="88"/>
      <c r="E509" s="88"/>
      <c r="F509" s="196"/>
      <c r="G509" s="196"/>
      <c r="H509" s="196"/>
      <c r="I509" s="196"/>
      <c r="J509" s="196"/>
      <c r="K509" s="196"/>
      <c r="L509" s="196"/>
      <c r="M509" s="196"/>
      <c r="N509" s="196"/>
      <c r="O509" s="196"/>
      <c r="P509" s="196"/>
      <c r="Q509" s="196"/>
      <c r="R509" s="196"/>
      <c r="S509" s="196"/>
      <c r="T509" s="196"/>
      <c r="U509" s="196"/>
      <c r="V509" s="196"/>
      <c r="W509" s="196"/>
      <c r="X509" s="196"/>
      <c r="Y509" s="196"/>
      <c r="Z509" s="196"/>
      <c r="AA509" s="196"/>
      <c r="AB509" s="196"/>
      <c r="AC509" s="196"/>
      <c r="AD509" s="196"/>
      <c r="AE509" s="196"/>
      <c r="AF509" s="196"/>
      <c r="AG509" s="196"/>
      <c r="AH509" s="196"/>
      <c r="AI509" s="196"/>
      <c r="AJ509" s="196"/>
      <c r="AK509" s="196"/>
      <c r="AL509" s="196"/>
      <c r="AM509" s="196"/>
      <c r="AN509" s="196"/>
      <c r="AO509" s="196"/>
      <c r="AP509" s="196"/>
      <c r="AQ509" s="196"/>
      <c r="AR509" s="196"/>
      <c r="AS509" s="196"/>
    </row>
    <row r="510" spans="1:45" ht="15.75" customHeight="1">
      <c r="A510" s="196"/>
      <c r="B510" s="196"/>
      <c r="C510" s="88"/>
      <c r="D510" s="88"/>
      <c r="E510" s="88"/>
      <c r="F510" s="196"/>
      <c r="G510" s="196"/>
      <c r="H510" s="196"/>
      <c r="I510" s="196"/>
      <c r="J510" s="196"/>
      <c r="K510" s="196"/>
      <c r="L510" s="196"/>
      <c r="M510" s="196"/>
      <c r="N510" s="196"/>
      <c r="O510" s="196"/>
      <c r="P510" s="196"/>
      <c r="Q510" s="196"/>
      <c r="R510" s="196"/>
      <c r="S510" s="196"/>
      <c r="T510" s="196"/>
      <c r="U510" s="196"/>
      <c r="V510" s="196"/>
      <c r="W510" s="196"/>
      <c r="X510" s="196"/>
      <c r="Y510" s="196"/>
      <c r="Z510" s="196"/>
      <c r="AA510" s="196"/>
      <c r="AB510" s="196"/>
      <c r="AC510" s="196"/>
      <c r="AD510" s="196"/>
      <c r="AE510" s="196"/>
      <c r="AF510" s="196"/>
      <c r="AG510" s="196"/>
      <c r="AH510" s="196"/>
      <c r="AI510" s="196"/>
      <c r="AJ510" s="196"/>
      <c r="AK510" s="196"/>
      <c r="AL510" s="196"/>
      <c r="AM510" s="196"/>
      <c r="AN510" s="196"/>
      <c r="AO510" s="196"/>
      <c r="AP510" s="196"/>
      <c r="AQ510" s="196"/>
      <c r="AR510" s="196"/>
      <c r="AS510" s="196"/>
    </row>
    <row r="511" spans="1:45" ht="15.75" customHeight="1">
      <c r="A511" s="196"/>
      <c r="B511" s="196"/>
      <c r="C511" s="88"/>
      <c r="D511" s="88"/>
      <c r="E511" s="88"/>
      <c r="F511" s="196"/>
      <c r="G511" s="196"/>
      <c r="H511" s="196"/>
      <c r="I511" s="196"/>
      <c r="J511" s="196"/>
      <c r="K511" s="196"/>
      <c r="L511" s="196"/>
      <c r="M511" s="196"/>
      <c r="N511" s="196"/>
      <c r="O511" s="196"/>
      <c r="P511" s="196"/>
      <c r="Q511" s="196"/>
      <c r="R511" s="196"/>
      <c r="S511" s="196"/>
      <c r="T511" s="196"/>
      <c r="U511" s="196"/>
      <c r="V511" s="196"/>
      <c r="W511" s="196"/>
      <c r="X511" s="196"/>
      <c r="Y511" s="196"/>
      <c r="Z511" s="196"/>
      <c r="AA511" s="196"/>
      <c r="AB511" s="196"/>
      <c r="AC511" s="196"/>
      <c r="AD511" s="196"/>
      <c r="AE511" s="196"/>
      <c r="AF511" s="196"/>
      <c r="AG511" s="196"/>
      <c r="AH511" s="196"/>
      <c r="AI511" s="196"/>
      <c r="AJ511" s="196"/>
      <c r="AK511" s="196"/>
      <c r="AL511" s="196"/>
      <c r="AM511" s="196"/>
      <c r="AN511" s="196"/>
      <c r="AO511" s="196"/>
      <c r="AP511" s="196"/>
      <c r="AQ511" s="196"/>
      <c r="AR511" s="196"/>
      <c r="AS511" s="196"/>
    </row>
    <row r="512" spans="1:45" ht="15.75" customHeight="1">
      <c r="A512" s="196"/>
      <c r="B512" s="196"/>
      <c r="C512" s="88"/>
      <c r="D512" s="88"/>
      <c r="E512" s="88"/>
      <c r="F512" s="196"/>
      <c r="G512" s="196"/>
      <c r="H512" s="196"/>
      <c r="I512" s="196"/>
      <c r="J512" s="196"/>
      <c r="K512" s="196"/>
      <c r="L512" s="196"/>
      <c r="M512" s="196"/>
      <c r="N512" s="196"/>
      <c r="O512" s="196"/>
      <c r="P512" s="196"/>
      <c r="Q512" s="196"/>
      <c r="R512" s="196"/>
      <c r="S512" s="196"/>
      <c r="T512" s="196"/>
      <c r="U512" s="196"/>
      <c r="V512" s="196"/>
      <c r="W512" s="196"/>
      <c r="X512" s="196"/>
      <c r="Y512" s="196"/>
      <c r="Z512" s="196"/>
      <c r="AA512" s="196"/>
      <c r="AB512" s="196"/>
      <c r="AC512" s="196"/>
      <c r="AD512" s="196"/>
      <c r="AE512" s="196"/>
      <c r="AF512" s="196"/>
      <c r="AG512" s="196"/>
      <c r="AH512" s="196"/>
      <c r="AI512" s="196"/>
      <c r="AJ512" s="196"/>
      <c r="AK512" s="196"/>
      <c r="AL512" s="196"/>
      <c r="AM512" s="196"/>
      <c r="AN512" s="196"/>
      <c r="AO512" s="196"/>
      <c r="AP512" s="196"/>
      <c r="AQ512" s="196"/>
      <c r="AR512" s="196"/>
      <c r="AS512" s="196"/>
    </row>
    <row r="513" spans="1:45" ht="15.75" customHeight="1">
      <c r="A513" s="196"/>
      <c r="B513" s="196"/>
      <c r="C513" s="88"/>
      <c r="D513" s="88"/>
      <c r="E513" s="88"/>
      <c r="F513" s="196"/>
      <c r="G513" s="196"/>
      <c r="H513" s="196"/>
      <c r="I513" s="196"/>
      <c r="J513" s="196"/>
      <c r="K513" s="196"/>
      <c r="L513" s="196"/>
      <c r="M513" s="196"/>
      <c r="N513" s="196"/>
      <c r="O513" s="196"/>
      <c r="P513" s="196"/>
      <c r="Q513" s="196"/>
      <c r="R513" s="196"/>
      <c r="S513" s="196"/>
      <c r="T513" s="196"/>
      <c r="U513" s="196"/>
      <c r="V513" s="196"/>
      <c r="W513" s="196"/>
      <c r="X513" s="196"/>
      <c r="Y513" s="196"/>
      <c r="Z513" s="196"/>
      <c r="AA513" s="196"/>
      <c r="AB513" s="196"/>
      <c r="AC513" s="196"/>
      <c r="AD513" s="196"/>
      <c r="AE513" s="196"/>
      <c r="AF513" s="196"/>
      <c r="AG513" s="196"/>
      <c r="AH513" s="196"/>
      <c r="AI513" s="196"/>
      <c r="AJ513" s="196"/>
      <c r="AK513" s="196"/>
      <c r="AL513" s="196"/>
      <c r="AM513" s="196"/>
      <c r="AN513" s="196"/>
      <c r="AO513" s="196"/>
      <c r="AP513" s="196"/>
      <c r="AQ513" s="196"/>
      <c r="AR513" s="196"/>
      <c r="AS513" s="196"/>
    </row>
    <row r="514" spans="1:45" ht="15.75" customHeight="1">
      <c r="A514" s="196"/>
      <c r="B514" s="196"/>
      <c r="C514" s="88"/>
      <c r="D514" s="88"/>
      <c r="E514" s="88"/>
      <c r="F514" s="196"/>
      <c r="G514" s="196"/>
      <c r="H514" s="196"/>
      <c r="I514" s="196"/>
      <c r="J514" s="196"/>
      <c r="K514" s="196"/>
      <c r="L514" s="196"/>
      <c r="M514" s="196"/>
      <c r="N514" s="196"/>
      <c r="O514" s="196"/>
      <c r="P514" s="196"/>
      <c r="Q514" s="196"/>
      <c r="R514" s="196"/>
      <c r="S514" s="196"/>
      <c r="T514" s="196"/>
      <c r="U514" s="196"/>
      <c r="V514" s="196"/>
      <c r="W514" s="196"/>
      <c r="X514" s="196"/>
      <c r="Y514" s="196"/>
      <c r="Z514" s="196"/>
      <c r="AA514" s="196"/>
      <c r="AB514" s="196"/>
      <c r="AC514" s="196"/>
      <c r="AD514" s="196"/>
      <c r="AE514" s="196"/>
      <c r="AF514" s="196"/>
      <c r="AG514" s="196"/>
      <c r="AH514" s="196"/>
      <c r="AI514" s="196"/>
      <c r="AJ514" s="196"/>
      <c r="AK514" s="196"/>
      <c r="AL514" s="196"/>
      <c r="AM514" s="196"/>
      <c r="AN514" s="196"/>
      <c r="AO514" s="196"/>
      <c r="AP514" s="196"/>
      <c r="AQ514" s="196"/>
      <c r="AR514" s="196"/>
      <c r="AS514" s="196"/>
    </row>
    <row r="515" spans="1:45" ht="15.75" customHeight="1">
      <c r="A515" s="196"/>
      <c r="B515" s="196"/>
      <c r="C515" s="88"/>
      <c r="D515" s="88"/>
      <c r="E515" s="88"/>
      <c r="F515" s="196"/>
      <c r="G515" s="196"/>
      <c r="H515" s="196"/>
      <c r="I515" s="196"/>
      <c r="J515" s="196"/>
      <c r="K515" s="196"/>
      <c r="L515" s="196"/>
      <c r="M515" s="196"/>
      <c r="N515" s="196"/>
      <c r="O515" s="196"/>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row>
    <row r="516" spans="1:45" ht="15.75" customHeight="1">
      <c r="A516" s="196"/>
      <c r="B516" s="196"/>
      <c r="C516" s="88"/>
      <c r="D516" s="88"/>
      <c r="E516" s="88"/>
      <c r="F516" s="196"/>
      <c r="G516" s="196"/>
      <c r="H516" s="196"/>
      <c r="I516" s="196"/>
      <c r="J516" s="196"/>
      <c r="K516" s="196"/>
      <c r="L516" s="196"/>
      <c r="M516" s="196"/>
      <c r="N516" s="196"/>
      <c r="O516" s="196"/>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row>
    <row r="517" spans="1:45" ht="15.75" customHeight="1">
      <c r="A517" s="196"/>
      <c r="B517" s="196"/>
      <c r="C517" s="88"/>
      <c r="D517" s="88"/>
      <c r="E517" s="88"/>
      <c r="F517" s="196"/>
      <c r="G517" s="196"/>
      <c r="H517" s="196"/>
      <c r="I517" s="196"/>
      <c r="J517" s="196"/>
      <c r="K517" s="196"/>
      <c r="L517" s="196"/>
      <c r="M517" s="196"/>
      <c r="N517" s="196"/>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row>
    <row r="518" spans="1:45" ht="15.75" customHeight="1">
      <c r="A518" s="196"/>
      <c r="B518" s="196"/>
      <c r="C518" s="88"/>
      <c r="D518" s="88"/>
      <c r="E518" s="88"/>
      <c r="F518" s="196"/>
      <c r="G518" s="196"/>
      <c r="H518" s="196"/>
      <c r="I518" s="196"/>
      <c r="J518" s="196"/>
      <c r="K518" s="196"/>
      <c r="L518" s="196"/>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row>
    <row r="519" spans="1:45" ht="15.75" customHeight="1">
      <c r="A519" s="196"/>
      <c r="B519" s="196"/>
      <c r="C519" s="88"/>
      <c r="D519" s="88"/>
      <c r="E519" s="88"/>
      <c r="F519" s="196"/>
      <c r="G519" s="196"/>
      <c r="H519" s="196"/>
      <c r="I519" s="196"/>
      <c r="J519" s="196"/>
      <c r="K519" s="196"/>
      <c r="L519" s="196"/>
      <c r="M519" s="196"/>
      <c r="N519" s="196"/>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row>
    <row r="520" spans="1:45" ht="15.75" customHeight="1">
      <c r="A520" s="196"/>
      <c r="B520" s="196"/>
      <c r="C520" s="88"/>
      <c r="D520" s="88"/>
      <c r="E520" s="88"/>
      <c r="F520" s="196"/>
      <c r="G520" s="196"/>
      <c r="H520" s="196"/>
      <c r="I520" s="196"/>
      <c r="J520" s="196"/>
      <c r="K520" s="196"/>
      <c r="L520" s="196"/>
      <c r="M520" s="196"/>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row>
    <row r="521" spans="1:45" ht="15.75" customHeight="1">
      <c r="A521" s="196"/>
      <c r="B521" s="196"/>
      <c r="C521" s="88"/>
      <c r="D521" s="88"/>
      <c r="E521" s="88"/>
      <c r="F521" s="196"/>
      <c r="G521" s="196"/>
      <c r="H521" s="196"/>
      <c r="I521" s="196"/>
      <c r="J521" s="196"/>
      <c r="K521" s="196"/>
      <c r="L521" s="196"/>
      <c r="M521" s="196"/>
      <c r="N521" s="196"/>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row>
    <row r="522" spans="1:45" ht="15.75" customHeight="1">
      <c r="A522" s="196"/>
      <c r="B522" s="196"/>
      <c r="C522" s="88"/>
      <c r="D522" s="88"/>
      <c r="E522" s="88"/>
      <c r="F522" s="196"/>
      <c r="G522" s="196"/>
      <c r="H522" s="196"/>
      <c r="I522" s="196"/>
      <c r="J522" s="196"/>
      <c r="K522" s="196"/>
      <c r="L522" s="196"/>
      <c r="M522" s="196"/>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row>
    <row r="523" spans="1:45" ht="15.75" customHeight="1">
      <c r="A523" s="196"/>
      <c r="B523" s="196"/>
      <c r="C523" s="88"/>
      <c r="D523" s="88"/>
      <c r="E523" s="88"/>
      <c r="F523" s="196"/>
      <c r="G523" s="196"/>
      <c r="H523" s="196"/>
      <c r="I523" s="196"/>
      <c r="J523" s="196"/>
      <c r="K523" s="196"/>
      <c r="L523" s="196"/>
      <c r="M523" s="196"/>
      <c r="N523" s="196"/>
      <c r="O523" s="196"/>
      <c r="P523" s="196"/>
      <c r="Q523" s="196"/>
      <c r="R523" s="196"/>
      <c r="S523" s="196"/>
      <c r="T523" s="196"/>
      <c r="U523" s="196"/>
      <c r="V523" s="196"/>
      <c r="W523" s="196"/>
      <c r="X523" s="196"/>
      <c r="Y523" s="196"/>
      <c r="Z523" s="196"/>
      <c r="AA523" s="196"/>
      <c r="AB523" s="196"/>
      <c r="AC523" s="196"/>
      <c r="AD523" s="196"/>
      <c r="AE523" s="196"/>
      <c r="AF523" s="196"/>
      <c r="AG523" s="196"/>
      <c r="AH523" s="196"/>
      <c r="AI523" s="196"/>
      <c r="AJ523" s="196"/>
      <c r="AK523" s="196"/>
      <c r="AL523" s="196"/>
      <c r="AM523" s="196"/>
      <c r="AN523" s="196"/>
      <c r="AO523" s="196"/>
      <c r="AP523" s="196"/>
      <c r="AQ523" s="196"/>
      <c r="AR523" s="196"/>
      <c r="AS523" s="196"/>
    </row>
    <row r="524" spans="1:45" ht="15.75" customHeight="1">
      <c r="A524" s="196"/>
      <c r="B524" s="196"/>
      <c r="C524" s="88"/>
      <c r="D524" s="88"/>
      <c r="E524" s="88"/>
      <c r="F524" s="196"/>
      <c r="G524" s="196"/>
      <c r="H524" s="196"/>
      <c r="I524" s="196"/>
      <c r="J524" s="196"/>
      <c r="K524" s="196"/>
      <c r="L524" s="196"/>
      <c r="M524" s="196"/>
      <c r="N524" s="196"/>
      <c r="O524" s="196"/>
      <c r="P524" s="196"/>
      <c r="Q524" s="196"/>
      <c r="R524" s="196"/>
      <c r="S524" s="196"/>
      <c r="T524" s="196"/>
      <c r="U524" s="196"/>
      <c r="V524" s="196"/>
      <c r="W524" s="196"/>
      <c r="X524" s="196"/>
      <c r="Y524" s="196"/>
      <c r="Z524" s="196"/>
      <c r="AA524" s="196"/>
      <c r="AB524" s="196"/>
      <c r="AC524" s="196"/>
      <c r="AD524" s="196"/>
      <c r="AE524" s="196"/>
      <c r="AF524" s="196"/>
      <c r="AG524" s="196"/>
      <c r="AH524" s="196"/>
      <c r="AI524" s="196"/>
      <c r="AJ524" s="196"/>
      <c r="AK524" s="196"/>
      <c r="AL524" s="196"/>
      <c r="AM524" s="196"/>
      <c r="AN524" s="196"/>
      <c r="AO524" s="196"/>
      <c r="AP524" s="196"/>
      <c r="AQ524" s="196"/>
      <c r="AR524" s="196"/>
      <c r="AS524" s="196"/>
    </row>
    <row r="525" spans="1:45" ht="15.75" customHeight="1">
      <c r="A525" s="196"/>
      <c r="B525" s="196"/>
      <c r="C525" s="88"/>
      <c r="D525" s="88"/>
      <c r="E525" s="88"/>
      <c r="F525" s="196"/>
      <c r="G525" s="196"/>
      <c r="H525" s="196"/>
      <c r="I525" s="196"/>
      <c r="J525" s="196"/>
      <c r="K525" s="196"/>
      <c r="L525" s="196"/>
      <c r="M525" s="196"/>
      <c r="N525" s="196"/>
      <c r="O525" s="196"/>
      <c r="P525" s="196"/>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row>
    <row r="526" spans="1:45" ht="15.75" customHeight="1">
      <c r="A526" s="196"/>
      <c r="B526" s="196"/>
      <c r="C526" s="88"/>
      <c r="D526" s="88"/>
      <c r="E526" s="88"/>
      <c r="F526" s="196"/>
      <c r="G526" s="196"/>
      <c r="H526" s="196"/>
      <c r="I526" s="196"/>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row>
    <row r="527" spans="1:45" ht="15.75" customHeight="1">
      <c r="A527" s="196"/>
      <c r="B527" s="196"/>
      <c r="C527" s="88"/>
      <c r="D527" s="88"/>
      <c r="E527" s="88"/>
      <c r="F527" s="196"/>
      <c r="G527" s="196"/>
      <c r="H527" s="196"/>
      <c r="I527" s="196"/>
      <c r="J527" s="196"/>
      <c r="K527" s="196"/>
      <c r="L527" s="196"/>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row>
    <row r="528" spans="1:45" ht="15.75" customHeight="1">
      <c r="A528" s="196"/>
      <c r="B528" s="196"/>
      <c r="C528" s="88"/>
      <c r="D528" s="88"/>
      <c r="E528" s="88"/>
      <c r="F528" s="196"/>
      <c r="G528" s="196"/>
      <c r="H528" s="196"/>
      <c r="I528" s="196"/>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row>
    <row r="529" spans="1:45" ht="15.75" customHeight="1">
      <c r="A529" s="196"/>
      <c r="B529" s="196"/>
      <c r="C529" s="88"/>
      <c r="D529" s="88"/>
      <c r="E529" s="88"/>
      <c r="F529" s="196"/>
      <c r="G529" s="196"/>
      <c r="H529" s="196"/>
      <c r="I529" s="196"/>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row>
    <row r="530" spans="1:45" ht="15.75" customHeight="1">
      <c r="A530" s="196"/>
      <c r="B530" s="196"/>
      <c r="C530" s="88"/>
      <c r="D530" s="88"/>
      <c r="E530" s="88"/>
      <c r="F530" s="196"/>
      <c r="G530" s="196"/>
      <c r="H530" s="196"/>
      <c r="I530" s="196"/>
      <c r="J530" s="196"/>
      <c r="K530" s="196"/>
      <c r="L530" s="196"/>
      <c r="M530" s="196"/>
      <c r="N530" s="196"/>
      <c r="O530" s="196"/>
      <c r="P530" s="196"/>
      <c r="Q530" s="196"/>
      <c r="R530" s="196"/>
      <c r="S530" s="196"/>
      <c r="T530" s="196"/>
      <c r="U530" s="196"/>
      <c r="V530" s="196"/>
      <c r="W530" s="196"/>
      <c r="X530" s="196"/>
      <c r="Y530" s="196"/>
      <c r="Z530" s="196"/>
      <c r="AA530" s="196"/>
      <c r="AB530" s="196"/>
      <c r="AC530" s="196"/>
      <c r="AD530" s="196"/>
      <c r="AE530" s="196"/>
      <c r="AF530" s="196"/>
      <c r="AG530" s="196"/>
      <c r="AH530" s="196"/>
      <c r="AI530" s="196"/>
      <c r="AJ530" s="196"/>
      <c r="AK530" s="196"/>
      <c r="AL530" s="196"/>
      <c r="AM530" s="196"/>
      <c r="AN530" s="196"/>
      <c r="AO530" s="196"/>
      <c r="AP530" s="196"/>
      <c r="AQ530" s="196"/>
      <c r="AR530" s="196"/>
      <c r="AS530" s="196"/>
    </row>
    <row r="531" spans="1:45" ht="15.75" customHeight="1">
      <c r="A531" s="196"/>
      <c r="B531" s="196"/>
      <c r="C531" s="88"/>
      <c r="D531" s="88"/>
      <c r="E531" s="88"/>
      <c r="F531" s="196"/>
      <c r="G531" s="196"/>
      <c r="H531" s="196"/>
      <c r="I531" s="196"/>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row>
    <row r="532" spans="1:45" ht="15.75" customHeight="1">
      <c r="A532" s="196"/>
      <c r="B532" s="196"/>
      <c r="C532" s="88"/>
      <c r="D532" s="88"/>
      <c r="E532" s="88"/>
      <c r="F532" s="196"/>
      <c r="G532" s="196"/>
      <c r="H532" s="196"/>
      <c r="I532" s="196"/>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row>
    <row r="533" spans="1:45" ht="15.75" customHeight="1">
      <c r="A533" s="196"/>
      <c r="B533" s="196"/>
      <c r="C533" s="88"/>
      <c r="D533" s="88"/>
      <c r="E533" s="88"/>
      <c r="F533" s="196"/>
      <c r="G533" s="196"/>
      <c r="H533" s="196"/>
      <c r="I533" s="196"/>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row>
    <row r="534" spans="1:45" ht="15.75" customHeight="1">
      <c r="A534" s="196"/>
      <c r="B534" s="196"/>
      <c r="C534" s="88"/>
      <c r="D534" s="88"/>
      <c r="E534" s="88"/>
      <c r="F534" s="196"/>
      <c r="G534" s="196"/>
      <c r="H534" s="196"/>
      <c r="I534" s="196"/>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row>
    <row r="535" spans="1:45" ht="15.75" customHeight="1">
      <c r="A535" s="196"/>
      <c r="B535" s="196"/>
      <c r="C535" s="88"/>
      <c r="D535" s="88"/>
      <c r="E535" s="88"/>
      <c r="F535" s="196"/>
      <c r="G535" s="196"/>
      <c r="H535" s="196"/>
      <c r="I535" s="196"/>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row>
    <row r="536" spans="1:45" ht="15.75" customHeight="1">
      <c r="A536" s="196"/>
      <c r="B536" s="196"/>
      <c r="C536" s="88"/>
      <c r="D536" s="88"/>
      <c r="E536" s="88"/>
      <c r="F536" s="196"/>
      <c r="G536" s="196"/>
      <c r="H536" s="196"/>
      <c r="I536" s="196"/>
      <c r="J536" s="196"/>
      <c r="K536" s="196"/>
      <c r="L536" s="196"/>
      <c r="M536" s="196"/>
      <c r="N536" s="196"/>
      <c r="O536" s="196"/>
      <c r="P536" s="196"/>
      <c r="Q536" s="196"/>
      <c r="R536" s="196"/>
      <c r="S536" s="196"/>
      <c r="T536" s="196"/>
      <c r="U536" s="196"/>
      <c r="V536" s="196"/>
      <c r="W536" s="196"/>
      <c r="X536" s="196"/>
      <c r="Y536" s="196"/>
      <c r="Z536" s="196"/>
      <c r="AA536" s="196"/>
      <c r="AB536" s="196"/>
      <c r="AC536" s="196"/>
      <c r="AD536" s="196"/>
      <c r="AE536" s="196"/>
      <c r="AF536" s="196"/>
      <c r="AG536" s="196"/>
      <c r="AH536" s="196"/>
      <c r="AI536" s="196"/>
      <c r="AJ536" s="196"/>
      <c r="AK536" s="196"/>
      <c r="AL536" s="196"/>
      <c r="AM536" s="196"/>
      <c r="AN536" s="196"/>
      <c r="AO536" s="196"/>
      <c r="AP536" s="196"/>
      <c r="AQ536" s="196"/>
      <c r="AR536" s="196"/>
      <c r="AS536" s="196"/>
    </row>
    <row r="537" spans="1:45" ht="15.75" customHeight="1">
      <c r="A537" s="196"/>
      <c r="B537" s="196"/>
      <c r="C537" s="88"/>
      <c r="D537" s="88"/>
      <c r="E537" s="88"/>
      <c r="F537" s="196"/>
      <c r="G537" s="196"/>
      <c r="H537" s="196"/>
      <c r="I537" s="196"/>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row>
    <row r="538" spans="1:45" ht="15.75" customHeight="1">
      <c r="A538" s="196"/>
      <c r="B538" s="196"/>
      <c r="C538" s="88"/>
      <c r="D538" s="88"/>
      <c r="E538" s="88"/>
      <c r="F538" s="196"/>
      <c r="G538" s="196"/>
      <c r="H538" s="196"/>
      <c r="I538" s="196"/>
      <c r="J538" s="196"/>
      <c r="K538" s="196"/>
      <c r="L538" s="196"/>
      <c r="M538" s="196"/>
      <c r="N538" s="196"/>
      <c r="O538" s="196"/>
      <c r="P538" s="196"/>
      <c r="Q538" s="196"/>
      <c r="R538" s="196"/>
      <c r="S538" s="196"/>
      <c r="T538" s="196"/>
      <c r="U538" s="196"/>
      <c r="V538" s="196"/>
      <c r="W538" s="196"/>
      <c r="X538" s="196"/>
      <c r="Y538" s="196"/>
      <c r="Z538" s="196"/>
      <c r="AA538" s="196"/>
      <c r="AB538" s="196"/>
      <c r="AC538" s="196"/>
      <c r="AD538" s="196"/>
      <c r="AE538" s="196"/>
      <c r="AF538" s="196"/>
      <c r="AG538" s="196"/>
      <c r="AH538" s="196"/>
      <c r="AI538" s="196"/>
      <c r="AJ538" s="196"/>
      <c r="AK538" s="196"/>
      <c r="AL538" s="196"/>
      <c r="AM538" s="196"/>
      <c r="AN538" s="196"/>
      <c r="AO538" s="196"/>
      <c r="AP538" s="196"/>
      <c r="AQ538" s="196"/>
      <c r="AR538" s="196"/>
      <c r="AS538" s="196"/>
    </row>
    <row r="539" spans="1:45" ht="15.75" customHeight="1">
      <c r="A539" s="196"/>
      <c r="B539" s="196"/>
      <c r="C539" s="88"/>
      <c r="D539" s="88"/>
      <c r="E539" s="88"/>
      <c r="F539" s="196"/>
      <c r="G539" s="196"/>
      <c r="H539" s="196"/>
      <c r="I539" s="196"/>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row>
    <row r="540" spans="1:45" ht="15.75" customHeight="1">
      <c r="A540" s="196"/>
      <c r="B540" s="196"/>
      <c r="C540" s="88"/>
      <c r="D540" s="88"/>
      <c r="E540" s="88"/>
      <c r="F540" s="196"/>
      <c r="G540" s="196"/>
      <c r="H540" s="196"/>
      <c r="I540" s="196"/>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row>
    <row r="541" spans="1:45" ht="15.75" customHeight="1">
      <c r="A541" s="196"/>
      <c r="B541" s="196"/>
      <c r="C541" s="88"/>
      <c r="D541" s="88"/>
      <c r="E541" s="88"/>
      <c r="F541" s="196"/>
      <c r="G541" s="196"/>
      <c r="H541" s="196"/>
      <c r="I541" s="196"/>
      <c r="J541" s="196"/>
      <c r="K541" s="196"/>
      <c r="L541" s="196"/>
      <c r="M541" s="196"/>
      <c r="N541" s="196"/>
      <c r="O541" s="196"/>
      <c r="P541" s="196"/>
      <c r="Q541" s="196"/>
      <c r="R541" s="196"/>
      <c r="S541" s="196"/>
      <c r="T541" s="196"/>
      <c r="U541" s="196"/>
      <c r="V541" s="196"/>
      <c r="W541" s="196"/>
      <c r="X541" s="196"/>
      <c r="Y541" s="196"/>
      <c r="Z541" s="196"/>
      <c r="AA541" s="196"/>
      <c r="AB541" s="196"/>
      <c r="AC541" s="196"/>
      <c r="AD541" s="196"/>
      <c r="AE541" s="196"/>
      <c r="AF541" s="196"/>
      <c r="AG541" s="196"/>
      <c r="AH541" s="196"/>
      <c r="AI541" s="196"/>
      <c r="AJ541" s="196"/>
      <c r="AK541" s="196"/>
      <c r="AL541" s="196"/>
      <c r="AM541" s="196"/>
      <c r="AN541" s="196"/>
      <c r="AO541" s="196"/>
      <c r="AP541" s="196"/>
      <c r="AQ541" s="196"/>
      <c r="AR541" s="196"/>
      <c r="AS541" s="196"/>
    </row>
    <row r="542" spans="1:45" ht="15.75" customHeight="1">
      <c r="A542" s="196"/>
      <c r="B542" s="196"/>
      <c r="C542" s="88"/>
      <c r="D542" s="88"/>
      <c r="E542" s="88"/>
      <c r="F542" s="196"/>
      <c r="G542" s="196"/>
      <c r="H542" s="196"/>
      <c r="I542" s="196"/>
      <c r="J542" s="196"/>
      <c r="K542" s="196"/>
      <c r="L542" s="196"/>
      <c r="M542" s="196"/>
      <c r="N542" s="196"/>
      <c r="O542" s="196"/>
      <c r="P542" s="196"/>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row>
    <row r="543" spans="1:45" ht="15.75" customHeight="1">
      <c r="A543" s="196"/>
      <c r="B543" s="196"/>
      <c r="C543" s="88"/>
      <c r="D543" s="88"/>
      <c r="E543" s="88"/>
      <c r="F543" s="196"/>
      <c r="G543" s="196"/>
      <c r="H543" s="196"/>
      <c r="I543" s="196"/>
      <c r="J543" s="196"/>
      <c r="K543" s="196"/>
      <c r="L543" s="196"/>
      <c r="M543" s="196"/>
      <c r="N543" s="196"/>
      <c r="O543" s="196"/>
      <c r="P543" s="196"/>
      <c r="Q543" s="196"/>
      <c r="R543" s="196"/>
      <c r="S543" s="196"/>
      <c r="T543" s="196"/>
      <c r="U543" s="196"/>
      <c r="V543" s="196"/>
      <c r="W543" s="196"/>
      <c r="X543" s="196"/>
      <c r="Y543" s="196"/>
      <c r="Z543" s="196"/>
      <c r="AA543" s="196"/>
      <c r="AB543" s="196"/>
      <c r="AC543" s="196"/>
      <c r="AD543" s="196"/>
      <c r="AE543" s="196"/>
      <c r="AF543" s="196"/>
      <c r="AG543" s="196"/>
      <c r="AH543" s="196"/>
      <c r="AI543" s="196"/>
      <c r="AJ543" s="196"/>
      <c r="AK543" s="196"/>
      <c r="AL543" s="196"/>
      <c r="AM543" s="196"/>
      <c r="AN543" s="196"/>
      <c r="AO543" s="196"/>
      <c r="AP543" s="196"/>
      <c r="AQ543" s="196"/>
      <c r="AR543" s="196"/>
      <c r="AS543" s="196"/>
    </row>
    <row r="544" spans="1:45" ht="15.75" customHeight="1">
      <c r="A544" s="196"/>
      <c r="B544" s="196"/>
      <c r="C544" s="88"/>
      <c r="D544" s="88"/>
      <c r="E544" s="88"/>
      <c r="F544" s="196"/>
      <c r="G544" s="196"/>
      <c r="H544" s="196"/>
      <c r="I544" s="196"/>
      <c r="J544" s="196"/>
      <c r="K544" s="196"/>
      <c r="L544" s="196"/>
      <c r="M544" s="196"/>
      <c r="N544" s="196"/>
      <c r="O544" s="196"/>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row>
    <row r="545" spans="1:45" ht="15.75" customHeight="1">
      <c r="A545" s="196"/>
      <c r="B545" s="196"/>
      <c r="C545" s="88"/>
      <c r="D545" s="88"/>
      <c r="E545" s="88"/>
      <c r="F545" s="196"/>
      <c r="G545" s="196"/>
      <c r="H545" s="196"/>
      <c r="I545" s="196"/>
      <c r="J545" s="196"/>
      <c r="K545" s="196"/>
      <c r="L545" s="196"/>
      <c r="M545" s="196"/>
      <c r="N545" s="196"/>
      <c r="O545" s="196"/>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row>
    <row r="546" spans="1:45" ht="15.75" customHeight="1">
      <c r="A546" s="196"/>
      <c r="B546" s="196"/>
      <c r="C546" s="88"/>
      <c r="D546" s="88"/>
      <c r="E546" s="88"/>
      <c r="F546" s="196"/>
      <c r="G546" s="196"/>
      <c r="H546" s="196"/>
      <c r="I546" s="196"/>
      <c r="J546" s="196"/>
      <c r="K546" s="196"/>
      <c r="L546" s="196"/>
      <c r="M546" s="196"/>
      <c r="N546" s="196"/>
      <c r="O546" s="196"/>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row>
    <row r="547" spans="1:45" ht="15.75" customHeight="1">
      <c r="A547" s="196"/>
      <c r="B547" s="196"/>
      <c r="C547" s="88"/>
      <c r="D547" s="88"/>
      <c r="E547" s="88"/>
      <c r="F547" s="196"/>
      <c r="G547" s="196"/>
      <c r="H547" s="196"/>
      <c r="I547" s="196"/>
      <c r="J547" s="196"/>
      <c r="K547" s="196"/>
      <c r="L547" s="196"/>
      <c r="M547" s="196"/>
      <c r="N547" s="196"/>
      <c r="O547" s="196"/>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row>
    <row r="548" spans="1:45" ht="15.75" customHeight="1">
      <c r="A548" s="196"/>
      <c r="B548" s="196"/>
      <c r="C548" s="88"/>
      <c r="D548" s="88"/>
      <c r="E548" s="88"/>
      <c r="F548" s="196"/>
      <c r="G548" s="196"/>
      <c r="H548" s="196"/>
      <c r="I548" s="196"/>
      <c r="J548" s="196"/>
      <c r="K548" s="196"/>
      <c r="L548" s="196"/>
      <c r="M548" s="196"/>
      <c r="N548" s="196"/>
      <c r="O548" s="196"/>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row>
    <row r="549" spans="1:45" ht="15.75" customHeight="1">
      <c r="A549" s="196"/>
      <c r="B549" s="196"/>
      <c r="C549" s="88"/>
      <c r="D549" s="88"/>
      <c r="E549" s="88"/>
      <c r="F549" s="196"/>
      <c r="G549" s="196"/>
      <c r="H549" s="196"/>
      <c r="I549" s="196"/>
      <c r="J549" s="196"/>
      <c r="K549" s="196"/>
      <c r="L549" s="196"/>
      <c r="M549" s="196"/>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row>
    <row r="550" spans="1:45" ht="15.75" customHeight="1">
      <c r="A550" s="196"/>
      <c r="B550" s="196"/>
      <c r="C550" s="88"/>
      <c r="D550" s="88"/>
      <c r="E550" s="88"/>
      <c r="F550" s="196"/>
      <c r="G550" s="196"/>
      <c r="H550" s="196"/>
      <c r="I550" s="196"/>
      <c r="J550" s="196"/>
      <c r="K550" s="196"/>
      <c r="L550" s="196"/>
      <c r="M550" s="196"/>
      <c r="N550" s="196"/>
      <c r="O550" s="196"/>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row>
    <row r="551" spans="1:45" ht="15.75" customHeight="1">
      <c r="A551" s="196"/>
      <c r="B551" s="196"/>
      <c r="C551" s="88"/>
      <c r="D551" s="88"/>
      <c r="E551" s="88"/>
      <c r="F551" s="196"/>
      <c r="G551" s="196"/>
      <c r="H551" s="196"/>
      <c r="I551" s="196"/>
      <c r="J551" s="196"/>
      <c r="K551" s="196"/>
      <c r="L551" s="196"/>
      <c r="M551" s="196"/>
      <c r="N551" s="196"/>
      <c r="O551" s="196"/>
      <c r="P551" s="196"/>
      <c r="Q551" s="196"/>
      <c r="R551" s="196"/>
      <c r="S551" s="196"/>
      <c r="T551" s="196"/>
      <c r="U551" s="196"/>
      <c r="V551" s="196"/>
      <c r="W551" s="196"/>
      <c r="X551" s="196"/>
      <c r="Y551" s="196"/>
      <c r="Z551" s="196"/>
      <c r="AA551" s="196"/>
      <c r="AB551" s="196"/>
      <c r="AC551" s="196"/>
      <c r="AD551" s="196"/>
      <c r="AE551" s="196"/>
      <c r="AF551" s="196"/>
      <c r="AG551" s="196"/>
      <c r="AH551" s="196"/>
      <c r="AI551" s="196"/>
      <c r="AJ551" s="196"/>
      <c r="AK551" s="196"/>
      <c r="AL551" s="196"/>
      <c r="AM551" s="196"/>
      <c r="AN551" s="196"/>
      <c r="AO551" s="196"/>
      <c r="AP551" s="196"/>
      <c r="AQ551" s="196"/>
      <c r="AR551" s="196"/>
      <c r="AS551" s="196"/>
    </row>
    <row r="552" spans="1:45" ht="15.75" customHeight="1">
      <c r="A552" s="196"/>
      <c r="B552" s="196"/>
      <c r="C552" s="88"/>
      <c r="D552" s="88"/>
      <c r="E552" s="88"/>
      <c r="F552" s="196"/>
      <c r="G552" s="196"/>
      <c r="H552" s="196"/>
      <c r="I552" s="196"/>
      <c r="J552" s="196"/>
      <c r="K552" s="196"/>
      <c r="L552" s="196"/>
      <c r="M552" s="196"/>
      <c r="N552" s="196"/>
      <c r="O552" s="196"/>
      <c r="P552" s="196"/>
      <c r="Q552" s="196"/>
      <c r="R552" s="196"/>
      <c r="S552" s="196"/>
      <c r="T552" s="196"/>
      <c r="U552" s="196"/>
      <c r="V552" s="196"/>
      <c r="W552" s="196"/>
      <c r="X552" s="196"/>
      <c r="Y552" s="196"/>
      <c r="Z552" s="196"/>
      <c r="AA552" s="196"/>
      <c r="AB552" s="196"/>
      <c r="AC552" s="196"/>
      <c r="AD552" s="196"/>
      <c r="AE552" s="196"/>
      <c r="AF552" s="196"/>
      <c r="AG552" s="196"/>
      <c r="AH552" s="196"/>
      <c r="AI552" s="196"/>
      <c r="AJ552" s="196"/>
      <c r="AK552" s="196"/>
      <c r="AL552" s="196"/>
      <c r="AM552" s="196"/>
      <c r="AN552" s="196"/>
      <c r="AO552" s="196"/>
      <c r="AP552" s="196"/>
      <c r="AQ552" s="196"/>
      <c r="AR552" s="196"/>
      <c r="AS552" s="196"/>
    </row>
    <row r="553" spans="1:45" ht="15.75" customHeight="1">
      <c r="A553" s="196"/>
      <c r="B553" s="196"/>
      <c r="C553" s="88"/>
      <c r="D553" s="88"/>
      <c r="E553" s="88"/>
      <c r="F553" s="196"/>
      <c r="G553" s="196"/>
      <c r="H553" s="196"/>
      <c r="I553" s="196"/>
      <c r="J553" s="196"/>
      <c r="K553" s="196"/>
      <c r="L553" s="196"/>
      <c r="M553" s="196"/>
      <c r="N553" s="196"/>
      <c r="O553" s="196"/>
      <c r="P553" s="196"/>
      <c r="Q553" s="196"/>
      <c r="R553" s="196"/>
      <c r="S553" s="196"/>
      <c r="T553" s="196"/>
      <c r="U553" s="196"/>
      <c r="V553" s="196"/>
      <c r="W553" s="196"/>
      <c r="X553" s="196"/>
      <c r="Y553" s="196"/>
      <c r="Z553" s="196"/>
      <c r="AA553" s="196"/>
      <c r="AB553" s="196"/>
      <c r="AC553" s="196"/>
      <c r="AD553" s="196"/>
      <c r="AE553" s="196"/>
      <c r="AF553" s="196"/>
      <c r="AG553" s="196"/>
      <c r="AH553" s="196"/>
      <c r="AI553" s="196"/>
      <c r="AJ553" s="196"/>
      <c r="AK553" s="196"/>
      <c r="AL553" s="196"/>
      <c r="AM553" s="196"/>
      <c r="AN553" s="196"/>
      <c r="AO553" s="196"/>
      <c r="AP553" s="196"/>
      <c r="AQ553" s="196"/>
      <c r="AR553" s="196"/>
      <c r="AS553" s="196"/>
    </row>
    <row r="554" spans="1:45" ht="15.75" customHeight="1">
      <c r="A554" s="196"/>
      <c r="B554" s="196"/>
      <c r="C554" s="88"/>
      <c r="D554" s="88"/>
      <c r="E554" s="88"/>
      <c r="F554" s="196"/>
      <c r="G554" s="196"/>
      <c r="H554" s="196"/>
      <c r="I554" s="196"/>
      <c r="J554" s="196"/>
      <c r="K554" s="196"/>
      <c r="L554" s="196"/>
      <c r="M554" s="196"/>
      <c r="N554" s="196"/>
      <c r="O554" s="196"/>
      <c r="P554" s="196"/>
      <c r="Q554" s="196"/>
      <c r="R554" s="196"/>
      <c r="S554" s="196"/>
      <c r="T554" s="196"/>
      <c r="U554" s="196"/>
      <c r="V554" s="196"/>
      <c r="W554" s="196"/>
      <c r="X554" s="196"/>
      <c r="Y554" s="196"/>
      <c r="Z554" s="196"/>
      <c r="AA554" s="196"/>
      <c r="AB554" s="196"/>
      <c r="AC554" s="196"/>
      <c r="AD554" s="196"/>
      <c r="AE554" s="196"/>
      <c r="AF554" s="196"/>
      <c r="AG554" s="196"/>
      <c r="AH554" s="196"/>
      <c r="AI554" s="196"/>
      <c r="AJ554" s="196"/>
      <c r="AK554" s="196"/>
      <c r="AL554" s="196"/>
      <c r="AM554" s="196"/>
      <c r="AN554" s="196"/>
      <c r="AO554" s="196"/>
      <c r="AP554" s="196"/>
      <c r="AQ554" s="196"/>
      <c r="AR554" s="196"/>
      <c r="AS554" s="196"/>
    </row>
    <row r="555" spans="1:45" ht="15.75" customHeight="1">
      <c r="A555" s="196"/>
      <c r="B555" s="196"/>
      <c r="C555" s="88"/>
      <c r="D555" s="88"/>
      <c r="E555" s="88"/>
      <c r="F555" s="196"/>
      <c r="G555" s="196"/>
      <c r="H555" s="196"/>
      <c r="I555" s="196"/>
      <c r="J555" s="196"/>
      <c r="K555" s="196"/>
      <c r="L555" s="196"/>
      <c r="M555" s="196"/>
      <c r="N555" s="196"/>
      <c r="O555" s="196"/>
      <c r="P555" s="196"/>
      <c r="Q555" s="196"/>
      <c r="R555" s="196"/>
      <c r="S555" s="196"/>
      <c r="T555" s="196"/>
      <c r="U555" s="196"/>
      <c r="V555" s="196"/>
      <c r="W555" s="196"/>
      <c r="X555" s="196"/>
      <c r="Y555" s="196"/>
      <c r="Z555" s="196"/>
      <c r="AA555" s="196"/>
      <c r="AB555" s="196"/>
      <c r="AC555" s="196"/>
      <c r="AD555" s="196"/>
      <c r="AE555" s="196"/>
      <c r="AF555" s="196"/>
      <c r="AG555" s="196"/>
      <c r="AH555" s="196"/>
      <c r="AI555" s="196"/>
      <c r="AJ555" s="196"/>
      <c r="AK555" s="196"/>
      <c r="AL555" s="196"/>
      <c r="AM555" s="196"/>
      <c r="AN555" s="196"/>
      <c r="AO555" s="196"/>
      <c r="AP555" s="196"/>
      <c r="AQ555" s="196"/>
      <c r="AR555" s="196"/>
      <c r="AS555" s="196"/>
    </row>
    <row r="556" spans="1:45" ht="15.75" customHeight="1">
      <c r="A556" s="196"/>
      <c r="B556" s="196"/>
      <c r="C556" s="88"/>
      <c r="D556" s="88"/>
      <c r="E556" s="88"/>
      <c r="F556" s="196"/>
      <c r="G556" s="196"/>
      <c r="H556" s="196"/>
      <c r="I556" s="196"/>
      <c r="J556" s="196"/>
      <c r="K556" s="196"/>
      <c r="L556" s="196"/>
      <c r="M556" s="196"/>
      <c r="N556" s="196"/>
      <c r="O556" s="196"/>
      <c r="P556" s="196"/>
      <c r="Q556" s="196"/>
      <c r="R556" s="196"/>
      <c r="S556" s="196"/>
      <c r="T556" s="196"/>
      <c r="U556" s="196"/>
      <c r="V556" s="196"/>
      <c r="W556" s="196"/>
      <c r="X556" s="196"/>
      <c r="Y556" s="196"/>
      <c r="Z556" s="196"/>
      <c r="AA556" s="196"/>
      <c r="AB556" s="196"/>
      <c r="AC556" s="196"/>
      <c r="AD556" s="196"/>
      <c r="AE556" s="196"/>
      <c r="AF556" s="196"/>
      <c r="AG556" s="196"/>
      <c r="AH556" s="196"/>
      <c r="AI556" s="196"/>
      <c r="AJ556" s="196"/>
      <c r="AK556" s="196"/>
      <c r="AL556" s="196"/>
      <c r="AM556" s="196"/>
      <c r="AN556" s="196"/>
      <c r="AO556" s="196"/>
      <c r="AP556" s="196"/>
      <c r="AQ556" s="196"/>
      <c r="AR556" s="196"/>
      <c r="AS556" s="196"/>
    </row>
    <row r="557" spans="1:45" ht="15.75" customHeight="1">
      <c r="A557" s="196"/>
      <c r="B557" s="196"/>
      <c r="C557" s="88"/>
      <c r="D557" s="88"/>
      <c r="E557" s="88"/>
      <c r="F557" s="196"/>
      <c r="G557" s="196"/>
      <c r="H557" s="196"/>
      <c r="I557" s="196"/>
      <c r="J557" s="196"/>
      <c r="K557" s="196"/>
      <c r="L557" s="196"/>
      <c r="M557" s="196"/>
      <c r="N557" s="196"/>
      <c r="O557" s="196"/>
      <c r="P557" s="196"/>
      <c r="Q557" s="196"/>
      <c r="R557" s="196"/>
      <c r="S557" s="196"/>
      <c r="T557" s="196"/>
      <c r="U557" s="196"/>
      <c r="V557" s="196"/>
      <c r="W557" s="196"/>
      <c r="X557" s="196"/>
      <c r="Y557" s="196"/>
      <c r="Z557" s="196"/>
      <c r="AA557" s="196"/>
      <c r="AB557" s="196"/>
      <c r="AC557" s="196"/>
      <c r="AD557" s="196"/>
      <c r="AE557" s="196"/>
      <c r="AF557" s="196"/>
      <c r="AG557" s="196"/>
      <c r="AH557" s="196"/>
      <c r="AI557" s="196"/>
      <c r="AJ557" s="196"/>
      <c r="AK557" s="196"/>
      <c r="AL557" s="196"/>
      <c r="AM557" s="196"/>
      <c r="AN557" s="196"/>
      <c r="AO557" s="196"/>
      <c r="AP557" s="196"/>
      <c r="AQ557" s="196"/>
      <c r="AR557" s="196"/>
      <c r="AS557" s="196"/>
    </row>
    <row r="558" spans="1:45" ht="15.75" customHeight="1">
      <c r="A558" s="196"/>
      <c r="B558" s="196"/>
      <c r="C558" s="88"/>
      <c r="D558" s="88"/>
      <c r="E558" s="88"/>
      <c r="F558" s="196"/>
      <c r="G558" s="196"/>
      <c r="H558" s="196"/>
      <c r="I558" s="196"/>
      <c r="J558" s="196"/>
      <c r="K558" s="196"/>
      <c r="L558" s="196"/>
      <c r="M558" s="196"/>
      <c r="N558" s="196"/>
      <c r="O558" s="196"/>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row>
    <row r="559" spans="1:45" ht="15.75" customHeight="1">
      <c r="A559" s="196"/>
      <c r="B559" s="196"/>
      <c r="C559" s="88"/>
      <c r="D559" s="88"/>
      <c r="E559" s="88"/>
      <c r="F559" s="196"/>
      <c r="G559" s="196"/>
      <c r="H559" s="196"/>
      <c r="I559" s="196"/>
      <c r="J559" s="196"/>
      <c r="K559" s="196"/>
      <c r="L559" s="196"/>
      <c r="M559" s="196"/>
      <c r="N559" s="196"/>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row>
    <row r="560" spans="1:45" ht="15.75" customHeight="1">
      <c r="A560" s="196"/>
      <c r="B560" s="196"/>
      <c r="C560" s="88"/>
      <c r="D560" s="88"/>
      <c r="E560" s="88"/>
      <c r="F560" s="196"/>
      <c r="G560" s="196"/>
      <c r="H560" s="196"/>
      <c r="I560" s="196"/>
      <c r="J560" s="196"/>
      <c r="K560" s="196"/>
      <c r="L560" s="196"/>
      <c r="M560" s="196"/>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row>
    <row r="561" spans="1:45" ht="15.75" customHeight="1">
      <c r="A561" s="196"/>
      <c r="B561" s="196"/>
      <c r="C561" s="88"/>
      <c r="D561" s="88"/>
      <c r="E561" s="88"/>
      <c r="F561" s="196"/>
      <c r="G561" s="196"/>
      <c r="H561" s="196"/>
      <c r="I561" s="196"/>
      <c r="J561" s="196"/>
      <c r="K561" s="196"/>
      <c r="L561" s="196"/>
      <c r="M561" s="196"/>
      <c r="N561" s="196"/>
      <c r="O561" s="196"/>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row>
    <row r="562" spans="1:45" ht="15.75" customHeight="1">
      <c r="A562" s="196"/>
      <c r="B562" s="196"/>
      <c r="C562" s="88"/>
      <c r="D562" s="88"/>
      <c r="E562" s="88"/>
      <c r="F562" s="196"/>
      <c r="G562" s="196"/>
      <c r="H562" s="196"/>
      <c r="I562" s="196"/>
      <c r="J562" s="196"/>
      <c r="K562" s="196"/>
      <c r="L562" s="196"/>
      <c r="M562" s="196"/>
      <c r="N562" s="196"/>
      <c r="O562" s="196"/>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row>
    <row r="563" spans="1:45" ht="15.75" customHeight="1">
      <c r="A563" s="196"/>
      <c r="B563" s="196"/>
      <c r="C563" s="88"/>
      <c r="D563" s="88"/>
      <c r="E563" s="88"/>
      <c r="F563" s="196"/>
      <c r="G563" s="196"/>
      <c r="H563" s="196"/>
      <c r="I563" s="196"/>
      <c r="J563" s="196"/>
      <c r="K563" s="196"/>
      <c r="L563" s="196"/>
      <c r="M563" s="196"/>
      <c r="N563" s="196"/>
      <c r="O563" s="196"/>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row>
    <row r="564" spans="1:45" ht="15.75" customHeight="1">
      <c r="A564" s="196"/>
      <c r="B564" s="196"/>
      <c r="C564" s="88"/>
      <c r="D564" s="88"/>
      <c r="E564" s="88"/>
      <c r="F564" s="196"/>
      <c r="G564" s="196"/>
      <c r="H564" s="196"/>
      <c r="I564" s="196"/>
      <c r="J564" s="196"/>
      <c r="K564" s="196"/>
      <c r="L564" s="196"/>
      <c r="M564" s="196"/>
      <c r="N564" s="196"/>
      <c r="O564" s="196"/>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row>
    <row r="565" spans="1:45" ht="15.75" customHeight="1">
      <c r="A565" s="196"/>
      <c r="B565" s="196"/>
      <c r="C565" s="88"/>
      <c r="D565" s="88"/>
      <c r="E565" s="88"/>
      <c r="F565" s="196"/>
      <c r="G565" s="196"/>
      <c r="H565" s="196"/>
      <c r="I565" s="196"/>
      <c r="J565" s="196"/>
      <c r="K565" s="196"/>
      <c r="L565" s="196"/>
      <c r="M565" s="196"/>
      <c r="N565" s="196"/>
      <c r="O565" s="196"/>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row>
    <row r="566" spans="1:45" ht="15.75" customHeight="1">
      <c r="A566" s="196"/>
      <c r="B566" s="196"/>
      <c r="C566" s="88"/>
      <c r="D566" s="88"/>
      <c r="E566" s="88"/>
      <c r="F566" s="196"/>
      <c r="G566" s="196"/>
      <c r="H566" s="196"/>
      <c r="I566" s="196"/>
      <c r="J566" s="196"/>
      <c r="K566" s="196"/>
      <c r="L566" s="196"/>
      <c r="M566" s="196"/>
      <c r="N566" s="196"/>
      <c r="O566" s="196"/>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row>
    <row r="567" spans="1:45" ht="15.75" customHeight="1">
      <c r="A567" s="196"/>
      <c r="B567" s="196"/>
      <c r="C567" s="88"/>
      <c r="D567" s="88"/>
      <c r="E567" s="88"/>
      <c r="F567" s="196"/>
      <c r="G567" s="196"/>
      <c r="H567" s="196"/>
      <c r="I567" s="196"/>
      <c r="J567" s="196"/>
      <c r="K567" s="196"/>
      <c r="L567" s="196"/>
      <c r="M567" s="196"/>
      <c r="N567" s="196"/>
      <c r="O567" s="196"/>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row>
    <row r="568" spans="1:45" ht="15.75" customHeight="1">
      <c r="A568" s="196"/>
      <c r="B568" s="196"/>
      <c r="C568" s="88"/>
      <c r="D568" s="88"/>
      <c r="E568" s="88"/>
      <c r="F568" s="196"/>
      <c r="G568" s="196"/>
      <c r="H568" s="196"/>
      <c r="I568" s="196"/>
      <c r="J568" s="196"/>
      <c r="K568" s="196"/>
      <c r="L568" s="196"/>
      <c r="M568" s="196"/>
      <c r="N568" s="196"/>
      <c r="O568" s="196"/>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row>
    <row r="569" spans="1:45" ht="15.75" customHeight="1">
      <c r="A569" s="196"/>
      <c r="B569" s="196"/>
      <c r="C569" s="88"/>
      <c r="D569" s="88"/>
      <c r="E569" s="88"/>
      <c r="F569" s="196"/>
      <c r="G569" s="196"/>
      <c r="H569" s="196"/>
      <c r="I569" s="196"/>
      <c r="J569" s="196"/>
      <c r="K569" s="196"/>
      <c r="L569" s="196"/>
      <c r="M569" s="196"/>
      <c r="N569" s="196"/>
      <c r="O569" s="196"/>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row>
    <row r="570" spans="1:45" ht="15.75" customHeight="1">
      <c r="A570" s="196"/>
      <c r="B570" s="196"/>
      <c r="C570" s="88"/>
      <c r="D570" s="88"/>
      <c r="E570" s="88"/>
      <c r="F570" s="196"/>
      <c r="G570" s="196"/>
      <c r="H570" s="196"/>
      <c r="I570" s="196"/>
      <c r="J570" s="196"/>
      <c r="K570" s="196"/>
      <c r="L570" s="196"/>
      <c r="M570" s="196"/>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row>
    <row r="571" spans="1:45" ht="15.75" customHeight="1">
      <c r="A571" s="196"/>
      <c r="B571" s="196"/>
      <c r="C571" s="88"/>
      <c r="D571" s="88"/>
      <c r="E571" s="88"/>
      <c r="F571" s="196"/>
      <c r="G571" s="196"/>
      <c r="H571" s="196"/>
      <c r="I571" s="196"/>
      <c r="J571" s="196"/>
      <c r="K571" s="196"/>
      <c r="L571" s="196"/>
      <c r="M571" s="196"/>
      <c r="N571" s="196"/>
      <c r="O571" s="196"/>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row>
    <row r="572" spans="1:45" ht="15.75" customHeight="1">
      <c r="A572" s="196"/>
      <c r="B572" s="196"/>
      <c r="C572" s="88"/>
      <c r="D572" s="88"/>
      <c r="E572" s="88"/>
      <c r="F572" s="196"/>
      <c r="G572" s="196"/>
      <c r="H572" s="196"/>
      <c r="I572" s="196"/>
      <c r="J572" s="196"/>
      <c r="K572" s="196"/>
      <c r="L572" s="196"/>
      <c r="M572" s="196"/>
      <c r="N572" s="196"/>
      <c r="O572" s="196"/>
      <c r="P572" s="196"/>
      <c r="Q572" s="196"/>
      <c r="R572" s="196"/>
      <c r="S572" s="196"/>
      <c r="T572" s="196"/>
      <c r="U572" s="196"/>
      <c r="V572" s="196"/>
      <c r="W572" s="196"/>
      <c r="X572" s="196"/>
      <c r="Y572" s="196"/>
      <c r="Z572" s="196"/>
      <c r="AA572" s="196"/>
      <c r="AB572" s="196"/>
      <c r="AC572" s="196"/>
      <c r="AD572" s="196"/>
      <c r="AE572" s="196"/>
      <c r="AF572" s="196"/>
      <c r="AG572" s="196"/>
      <c r="AH572" s="196"/>
      <c r="AI572" s="196"/>
      <c r="AJ572" s="196"/>
      <c r="AK572" s="196"/>
      <c r="AL572" s="196"/>
      <c r="AM572" s="196"/>
      <c r="AN572" s="196"/>
      <c r="AO572" s="196"/>
      <c r="AP572" s="196"/>
      <c r="AQ572" s="196"/>
      <c r="AR572" s="196"/>
      <c r="AS572" s="196"/>
    </row>
    <row r="573" spans="1:45" ht="15.75" customHeight="1">
      <c r="A573" s="196"/>
      <c r="B573" s="196"/>
      <c r="C573" s="88"/>
      <c r="D573" s="88"/>
      <c r="E573" s="88"/>
      <c r="F573" s="196"/>
      <c r="G573" s="196"/>
      <c r="H573" s="196"/>
      <c r="I573" s="196"/>
      <c r="J573" s="196"/>
      <c r="K573" s="196"/>
      <c r="L573" s="196"/>
      <c r="M573" s="196"/>
      <c r="N573" s="196"/>
      <c r="O573" s="196"/>
      <c r="P573" s="196"/>
      <c r="Q573" s="196"/>
      <c r="R573" s="196"/>
      <c r="S573" s="196"/>
      <c r="T573" s="196"/>
      <c r="U573" s="196"/>
      <c r="V573" s="196"/>
      <c r="W573" s="196"/>
      <c r="X573" s="196"/>
      <c r="Y573" s="196"/>
      <c r="Z573" s="196"/>
      <c r="AA573" s="196"/>
      <c r="AB573" s="196"/>
      <c r="AC573" s="196"/>
      <c r="AD573" s="196"/>
      <c r="AE573" s="196"/>
      <c r="AF573" s="196"/>
      <c r="AG573" s="196"/>
      <c r="AH573" s="196"/>
      <c r="AI573" s="196"/>
      <c r="AJ573" s="196"/>
      <c r="AK573" s="196"/>
      <c r="AL573" s="196"/>
      <c r="AM573" s="196"/>
      <c r="AN573" s="196"/>
      <c r="AO573" s="196"/>
      <c r="AP573" s="196"/>
      <c r="AQ573" s="196"/>
      <c r="AR573" s="196"/>
      <c r="AS573" s="196"/>
    </row>
    <row r="574" spans="1:45" ht="15.75" customHeight="1">
      <c r="A574" s="196"/>
      <c r="B574" s="196"/>
      <c r="C574" s="88"/>
      <c r="D574" s="88"/>
      <c r="E574" s="88"/>
      <c r="F574" s="196"/>
      <c r="G574" s="196"/>
      <c r="H574" s="196"/>
      <c r="I574" s="196"/>
      <c r="J574" s="196"/>
      <c r="K574" s="196"/>
      <c r="L574" s="196"/>
      <c r="M574" s="196"/>
      <c r="N574" s="196"/>
      <c r="O574" s="196"/>
      <c r="P574" s="196"/>
      <c r="Q574" s="196"/>
      <c r="R574" s="196"/>
      <c r="S574" s="196"/>
      <c r="T574" s="196"/>
      <c r="U574" s="196"/>
      <c r="V574" s="196"/>
      <c r="W574" s="196"/>
      <c r="X574" s="196"/>
      <c r="Y574" s="196"/>
      <c r="Z574" s="196"/>
      <c r="AA574" s="196"/>
      <c r="AB574" s="196"/>
      <c r="AC574" s="196"/>
      <c r="AD574" s="196"/>
      <c r="AE574" s="196"/>
      <c r="AF574" s="196"/>
      <c r="AG574" s="196"/>
      <c r="AH574" s="196"/>
      <c r="AI574" s="196"/>
      <c r="AJ574" s="196"/>
      <c r="AK574" s="196"/>
      <c r="AL574" s="196"/>
      <c r="AM574" s="196"/>
      <c r="AN574" s="196"/>
      <c r="AO574" s="196"/>
      <c r="AP574" s="196"/>
      <c r="AQ574" s="196"/>
      <c r="AR574" s="196"/>
      <c r="AS574" s="196"/>
    </row>
    <row r="575" spans="1:45" ht="15.75" customHeight="1">
      <c r="A575" s="196"/>
      <c r="B575" s="196"/>
      <c r="C575" s="88"/>
      <c r="D575" s="88"/>
      <c r="E575" s="88"/>
      <c r="F575" s="196"/>
      <c r="G575" s="196"/>
      <c r="H575" s="196"/>
      <c r="I575" s="196"/>
      <c r="J575" s="196"/>
      <c r="K575" s="196"/>
      <c r="L575" s="196"/>
      <c r="M575" s="196"/>
      <c r="N575" s="196"/>
      <c r="O575" s="196"/>
      <c r="P575" s="196"/>
      <c r="Q575" s="196"/>
      <c r="R575" s="196"/>
      <c r="S575" s="196"/>
      <c r="T575" s="196"/>
      <c r="U575" s="196"/>
      <c r="V575" s="196"/>
      <c r="W575" s="196"/>
      <c r="X575" s="196"/>
      <c r="Y575" s="196"/>
      <c r="Z575" s="196"/>
      <c r="AA575" s="196"/>
      <c r="AB575" s="196"/>
      <c r="AC575" s="196"/>
      <c r="AD575" s="196"/>
      <c r="AE575" s="196"/>
      <c r="AF575" s="196"/>
      <c r="AG575" s="196"/>
      <c r="AH575" s="196"/>
      <c r="AI575" s="196"/>
      <c r="AJ575" s="196"/>
      <c r="AK575" s="196"/>
      <c r="AL575" s="196"/>
      <c r="AM575" s="196"/>
      <c r="AN575" s="196"/>
      <c r="AO575" s="196"/>
      <c r="AP575" s="196"/>
      <c r="AQ575" s="196"/>
      <c r="AR575" s="196"/>
      <c r="AS575" s="196"/>
    </row>
    <row r="576" spans="1:45" ht="15.75" customHeight="1">
      <c r="A576" s="196"/>
      <c r="B576" s="196"/>
      <c r="C576" s="88"/>
      <c r="D576" s="88"/>
      <c r="E576" s="88"/>
      <c r="F576" s="196"/>
      <c r="G576" s="196"/>
      <c r="H576" s="196"/>
      <c r="I576" s="196"/>
      <c r="J576" s="196"/>
      <c r="K576" s="196"/>
      <c r="L576" s="196"/>
      <c r="M576" s="196"/>
      <c r="N576" s="196"/>
      <c r="O576" s="196"/>
      <c r="P576" s="196"/>
      <c r="Q576" s="196"/>
      <c r="R576" s="196"/>
      <c r="S576" s="196"/>
      <c r="T576" s="196"/>
      <c r="U576" s="196"/>
      <c r="V576" s="196"/>
      <c r="W576" s="196"/>
      <c r="X576" s="196"/>
      <c r="Y576" s="196"/>
      <c r="Z576" s="196"/>
      <c r="AA576" s="196"/>
      <c r="AB576" s="196"/>
      <c r="AC576" s="196"/>
      <c r="AD576" s="196"/>
      <c r="AE576" s="196"/>
      <c r="AF576" s="196"/>
      <c r="AG576" s="196"/>
      <c r="AH576" s="196"/>
      <c r="AI576" s="196"/>
      <c r="AJ576" s="196"/>
      <c r="AK576" s="196"/>
      <c r="AL576" s="196"/>
      <c r="AM576" s="196"/>
      <c r="AN576" s="196"/>
      <c r="AO576" s="196"/>
      <c r="AP576" s="196"/>
      <c r="AQ576" s="196"/>
      <c r="AR576" s="196"/>
      <c r="AS576" s="196"/>
    </row>
    <row r="577" spans="1:45" ht="15.75" customHeight="1">
      <c r="A577" s="196"/>
      <c r="B577" s="196"/>
      <c r="C577" s="88"/>
      <c r="D577" s="88"/>
      <c r="E577" s="88"/>
      <c r="F577" s="196"/>
      <c r="G577" s="196"/>
      <c r="H577" s="196"/>
      <c r="I577" s="196"/>
      <c r="J577" s="196"/>
      <c r="K577" s="196"/>
      <c r="L577" s="196"/>
      <c r="M577" s="196"/>
      <c r="N577" s="196"/>
      <c r="O577" s="196"/>
      <c r="P577" s="196"/>
      <c r="Q577" s="196"/>
      <c r="R577" s="196"/>
      <c r="S577" s="196"/>
      <c r="T577" s="196"/>
      <c r="U577" s="196"/>
      <c r="V577" s="196"/>
      <c r="W577" s="196"/>
      <c r="X577" s="196"/>
      <c r="Y577" s="196"/>
      <c r="Z577" s="196"/>
      <c r="AA577" s="196"/>
      <c r="AB577" s="196"/>
      <c r="AC577" s="196"/>
      <c r="AD577" s="196"/>
      <c r="AE577" s="196"/>
      <c r="AF577" s="196"/>
      <c r="AG577" s="196"/>
      <c r="AH577" s="196"/>
      <c r="AI577" s="196"/>
      <c r="AJ577" s="196"/>
      <c r="AK577" s="196"/>
      <c r="AL577" s="196"/>
      <c r="AM577" s="196"/>
      <c r="AN577" s="196"/>
      <c r="AO577" s="196"/>
      <c r="AP577" s="196"/>
      <c r="AQ577" s="196"/>
      <c r="AR577" s="196"/>
      <c r="AS577" s="196"/>
    </row>
    <row r="578" spans="1:45" ht="15.75" customHeight="1">
      <c r="A578" s="196"/>
      <c r="B578" s="196"/>
      <c r="C578" s="88"/>
      <c r="D578" s="88"/>
      <c r="E578" s="88"/>
      <c r="F578" s="196"/>
      <c r="G578" s="196"/>
      <c r="H578" s="196"/>
      <c r="I578" s="196"/>
      <c r="J578" s="196"/>
      <c r="K578" s="196"/>
      <c r="L578" s="196"/>
      <c r="M578" s="196"/>
      <c r="N578" s="196"/>
      <c r="O578" s="196"/>
      <c r="P578" s="196"/>
      <c r="Q578" s="196"/>
      <c r="R578" s="196"/>
      <c r="S578" s="196"/>
      <c r="T578" s="196"/>
      <c r="U578" s="196"/>
      <c r="V578" s="196"/>
      <c r="W578" s="196"/>
      <c r="X578" s="196"/>
      <c r="Y578" s="196"/>
      <c r="Z578" s="196"/>
      <c r="AA578" s="196"/>
      <c r="AB578" s="196"/>
      <c r="AC578" s="196"/>
      <c r="AD578" s="196"/>
      <c r="AE578" s="196"/>
      <c r="AF578" s="196"/>
      <c r="AG578" s="196"/>
      <c r="AH578" s="196"/>
      <c r="AI578" s="196"/>
      <c r="AJ578" s="196"/>
      <c r="AK578" s="196"/>
      <c r="AL578" s="196"/>
      <c r="AM578" s="196"/>
      <c r="AN578" s="196"/>
      <c r="AO578" s="196"/>
      <c r="AP578" s="196"/>
      <c r="AQ578" s="196"/>
      <c r="AR578" s="196"/>
      <c r="AS578" s="196"/>
    </row>
    <row r="579" spans="1:45" ht="15.75" customHeight="1">
      <c r="A579" s="196"/>
      <c r="B579" s="196"/>
      <c r="C579" s="88"/>
      <c r="D579" s="88"/>
      <c r="E579" s="88"/>
      <c r="F579" s="196"/>
      <c r="G579" s="196"/>
      <c r="H579" s="196"/>
      <c r="I579" s="196"/>
      <c r="J579" s="196"/>
      <c r="K579" s="196"/>
      <c r="L579" s="196"/>
      <c r="M579" s="196"/>
      <c r="N579" s="196"/>
      <c r="O579" s="196"/>
      <c r="P579" s="196"/>
      <c r="Q579" s="196"/>
      <c r="R579" s="196"/>
      <c r="S579" s="196"/>
      <c r="T579" s="196"/>
      <c r="U579" s="196"/>
      <c r="V579" s="196"/>
      <c r="W579" s="196"/>
      <c r="X579" s="196"/>
      <c r="Y579" s="196"/>
      <c r="Z579" s="196"/>
      <c r="AA579" s="196"/>
      <c r="AB579" s="196"/>
      <c r="AC579" s="196"/>
      <c r="AD579" s="196"/>
      <c r="AE579" s="196"/>
      <c r="AF579" s="196"/>
      <c r="AG579" s="196"/>
      <c r="AH579" s="196"/>
      <c r="AI579" s="196"/>
      <c r="AJ579" s="196"/>
      <c r="AK579" s="196"/>
      <c r="AL579" s="196"/>
      <c r="AM579" s="196"/>
      <c r="AN579" s="196"/>
      <c r="AO579" s="196"/>
      <c r="AP579" s="196"/>
      <c r="AQ579" s="196"/>
      <c r="AR579" s="196"/>
      <c r="AS579" s="196"/>
    </row>
    <row r="580" spans="1:45" ht="15.75" customHeight="1">
      <c r="A580" s="196"/>
      <c r="B580" s="196"/>
      <c r="C580" s="88"/>
      <c r="D580" s="88"/>
      <c r="E580" s="88"/>
      <c r="F580" s="196"/>
      <c r="G580" s="196"/>
      <c r="H580" s="196"/>
      <c r="I580" s="196"/>
      <c r="J580" s="196"/>
      <c r="K580" s="196"/>
      <c r="L580" s="196"/>
      <c r="M580" s="196"/>
      <c r="N580" s="196"/>
      <c r="O580" s="196"/>
      <c r="P580" s="196"/>
      <c r="Q580" s="196"/>
      <c r="R580" s="196"/>
      <c r="S580" s="196"/>
      <c r="T580" s="196"/>
      <c r="U580" s="196"/>
      <c r="V580" s="196"/>
      <c r="W580" s="196"/>
      <c r="X580" s="196"/>
      <c r="Y580" s="196"/>
      <c r="Z580" s="196"/>
      <c r="AA580" s="196"/>
      <c r="AB580" s="196"/>
      <c r="AC580" s="196"/>
      <c r="AD580" s="196"/>
      <c r="AE580" s="196"/>
      <c r="AF580" s="196"/>
      <c r="AG580" s="196"/>
      <c r="AH580" s="196"/>
      <c r="AI580" s="196"/>
      <c r="AJ580" s="196"/>
      <c r="AK580" s="196"/>
      <c r="AL580" s="196"/>
      <c r="AM580" s="196"/>
      <c r="AN580" s="196"/>
      <c r="AO580" s="196"/>
      <c r="AP580" s="196"/>
      <c r="AQ580" s="196"/>
      <c r="AR580" s="196"/>
      <c r="AS580" s="196"/>
    </row>
    <row r="581" spans="1:45" ht="15.75" customHeight="1">
      <c r="A581" s="196"/>
      <c r="B581" s="196"/>
      <c r="C581" s="88"/>
      <c r="D581" s="88"/>
      <c r="E581" s="88"/>
      <c r="F581" s="196"/>
      <c r="G581" s="196"/>
      <c r="H581" s="196"/>
      <c r="I581" s="196"/>
      <c r="J581" s="196"/>
      <c r="K581" s="196"/>
      <c r="L581" s="196"/>
      <c r="M581" s="196"/>
      <c r="N581" s="196"/>
      <c r="O581" s="196"/>
      <c r="P581" s="196"/>
      <c r="Q581" s="196"/>
      <c r="R581" s="196"/>
      <c r="S581" s="196"/>
      <c r="T581" s="196"/>
      <c r="U581" s="196"/>
      <c r="V581" s="196"/>
      <c r="W581" s="196"/>
      <c r="X581" s="196"/>
      <c r="Y581" s="196"/>
      <c r="Z581" s="196"/>
      <c r="AA581" s="196"/>
      <c r="AB581" s="196"/>
      <c r="AC581" s="196"/>
      <c r="AD581" s="196"/>
      <c r="AE581" s="196"/>
      <c r="AF581" s="196"/>
      <c r="AG581" s="196"/>
      <c r="AH581" s="196"/>
      <c r="AI581" s="196"/>
      <c r="AJ581" s="196"/>
      <c r="AK581" s="196"/>
      <c r="AL581" s="196"/>
      <c r="AM581" s="196"/>
      <c r="AN581" s="196"/>
      <c r="AO581" s="196"/>
      <c r="AP581" s="196"/>
      <c r="AQ581" s="196"/>
      <c r="AR581" s="196"/>
      <c r="AS581" s="196"/>
    </row>
    <row r="582" spans="1:45" ht="15.75" customHeight="1">
      <c r="A582" s="196"/>
      <c r="B582" s="196"/>
      <c r="C582" s="88"/>
      <c r="D582" s="88"/>
      <c r="E582" s="88"/>
      <c r="F582" s="196"/>
      <c r="G582" s="196"/>
      <c r="H582" s="196"/>
      <c r="I582" s="196"/>
      <c r="J582" s="196"/>
      <c r="K582" s="196"/>
      <c r="L582" s="196"/>
      <c r="M582" s="196"/>
      <c r="N582" s="196"/>
      <c r="O582" s="196"/>
      <c r="P582" s="196"/>
      <c r="Q582" s="196"/>
      <c r="R582" s="196"/>
      <c r="S582" s="196"/>
      <c r="T582" s="196"/>
      <c r="U582" s="196"/>
      <c r="V582" s="196"/>
      <c r="W582" s="196"/>
      <c r="X582" s="196"/>
      <c r="Y582" s="196"/>
      <c r="Z582" s="196"/>
      <c r="AA582" s="196"/>
      <c r="AB582" s="196"/>
      <c r="AC582" s="196"/>
      <c r="AD582" s="196"/>
      <c r="AE582" s="196"/>
      <c r="AF582" s="196"/>
      <c r="AG582" s="196"/>
      <c r="AH582" s="196"/>
      <c r="AI582" s="196"/>
      <c r="AJ582" s="196"/>
      <c r="AK582" s="196"/>
      <c r="AL582" s="196"/>
      <c r="AM582" s="196"/>
      <c r="AN582" s="196"/>
      <c r="AO582" s="196"/>
      <c r="AP582" s="196"/>
      <c r="AQ582" s="196"/>
      <c r="AR582" s="196"/>
      <c r="AS582" s="196"/>
    </row>
    <row r="583" spans="1:45" ht="15.75" customHeight="1">
      <c r="A583" s="196"/>
      <c r="B583" s="196"/>
      <c r="C583" s="88"/>
      <c r="D583" s="88"/>
      <c r="E583" s="88"/>
      <c r="F583" s="196"/>
      <c r="G583" s="196"/>
      <c r="H583" s="196"/>
      <c r="I583" s="196"/>
      <c r="J583" s="196"/>
      <c r="K583" s="196"/>
      <c r="L583" s="196"/>
      <c r="M583" s="196"/>
      <c r="N583" s="196"/>
      <c r="O583" s="196"/>
      <c r="P583" s="196"/>
      <c r="Q583" s="196"/>
      <c r="R583" s="196"/>
      <c r="S583" s="196"/>
      <c r="T583" s="196"/>
      <c r="U583" s="196"/>
      <c r="V583" s="196"/>
      <c r="W583" s="196"/>
      <c r="X583" s="196"/>
      <c r="Y583" s="196"/>
      <c r="Z583" s="196"/>
      <c r="AA583" s="196"/>
      <c r="AB583" s="196"/>
      <c r="AC583" s="196"/>
      <c r="AD583" s="196"/>
      <c r="AE583" s="196"/>
      <c r="AF583" s="196"/>
      <c r="AG583" s="196"/>
      <c r="AH583" s="196"/>
      <c r="AI583" s="196"/>
      <c r="AJ583" s="196"/>
      <c r="AK583" s="196"/>
      <c r="AL583" s="196"/>
      <c r="AM583" s="196"/>
      <c r="AN583" s="196"/>
      <c r="AO583" s="196"/>
      <c r="AP583" s="196"/>
      <c r="AQ583" s="196"/>
      <c r="AR583" s="196"/>
      <c r="AS583" s="196"/>
    </row>
    <row r="584" spans="1:45" ht="15.75" customHeight="1">
      <c r="A584" s="196"/>
      <c r="B584" s="196"/>
      <c r="C584" s="88"/>
      <c r="D584" s="88"/>
      <c r="E584" s="88"/>
      <c r="F584" s="196"/>
      <c r="G584" s="196"/>
      <c r="H584" s="196"/>
      <c r="I584" s="196"/>
      <c r="J584" s="196"/>
      <c r="K584" s="196"/>
      <c r="L584" s="196"/>
      <c r="M584" s="196"/>
      <c r="N584" s="196"/>
      <c r="O584" s="196"/>
      <c r="P584" s="196"/>
      <c r="Q584" s="196"/>
      <c r="R584" s="196"/>
      <c r="S584" s="196"/>
      <c r="T584" s="196"/>
      <c r="U584" s="196"/>
      <c r="V584" s="196"/>
      <c r="W584" s="196"/>
      <c r="X584" s="196"/>
      <c r="Y584" s="196"/>
      <c r="Z584" s="196"/>
      <c r="AA584" s="196"/>
      <c r="AB584" s="196"/>
      <c r="AC584" s="196"/>
      <c r="AD584" s="196"/>
      <c r="AE584" s="196"/>
      <c r="AF584" s="196"/>
      <c r="AG584" s="196"/>
      <c r="AH584" s="196"/>
      <c r="AI584" s="196"/>
      <c r="AJ584" s="196"/>
      <c r="AK584" s="196"/>
      <c r="AL584" s="196"/>
      <c r="AM584" s="196"/>
      <c r="AN584" s="196"/>
      <c r="AO584" s="196"/>
      <c r="AP584" s="196"/>
      <c r="AQ584" s="196"/>
      <c r="AR584" s="196"/>
      <c r="AS584" s="196"/>
    </row>
    <row r="585" spans="1:45" ht="15.75" customHeight="1">
      <c r="A585" s="196"/>
      <c r="B585" s="196"/>
      <c r="C585" s="88"/>
      <c r="D585" s="88"/>
      <c r="E585" s="88"/>
      <c r="F585" s="196"/>
      <c r="G585" s="196"/>
      <c r="H585" s="196"/>
      <c r="I585" s="196"/>
      <c r="J585" s="196"/>
      <c r="K585" s="196"/>
      <c r="L585" s="196"/>
      <c r="M585" s="196"/>
      <c r="N585" s="196"/>
      <c r="O585" s="196"/>
      <c r="P585" s="196"/>
      <c r="Q585" s="196"/>
      <c r="R585" s="196"/>
      <c r="S585" s="196"/>
      <c r="T585" s="196"/>
      <c r="U585" s="196"/>
      <c r="V585" s="196"/>
      <c r="W585" s="196"/>
      <c r="X585" s="196"/>
      <c r="Y585" s="196"/>
      <c r="Z585" s="196"/>
      <c r="AA585" s="196"/>
      <c r="AB585" s="196"/>
      <c r="AC585" s="196"/>
      <c r="AD585" s="196"/>
      <c r="AE585" s="196"/>
      <c r="AF585" s="196"/>
      <c r="AG585" s="196"/>
      <c r="AH585" s="196"/>
      <c r="AI585" s="196"/>
      <c r="AJ585" s="196"/>
      <c r="AK585" s="196"/>
      <c r="AL585" s="196"/>
      <c r="AM585" s="196"/>
      <c r="AN585" s="196"/>
      <c r="AO585" s="196"/>
      <c r="AP585" s="196"/>
      <c r="AQ585" s="196"/>
      <c r="AR585" s="196"/>
      <c r="AS585" s="196"/>
    </row>
    <row r="586" spans="1:45" ht="15.75" customHeight="1">
      <c r="A586" s="196"/>
      <c r="B586" s="196"/>
      <c r="C586" s="88"/>
      <c r="D586" s="88"/>
      <c r="E586" s="88"/>
      <c r="F586" s="196"/>
      <c r="G586" s="196"/>
      <c r="H586" s="196"/>
      <c r="I586" s="196"/>
      <c r="J586" s="196"/>
      <c r="K586" s="196"/>
      <c r="L586" s="196"/>
      <c r="M586" s="196"/>
      <c r="N586" s="196"/>
      <c r="O586" s="196"/>
      <c r="P586" s="196"/>
      <c r="Q586" s="196"/>
      <c r="R586" s="196"/>
      <c r="S586" s="196"/>
      <c r="T586" s="196"/>
      <c r="U586" s="196"/>
      <c r="V586" s="196"/>
      <c r="W586" s="196"/>
      <c r="X586" s="196"/>
      <c r="Y586" s="196"/>
      <c r="Z586" s="196"/>
      <c r="AA586" s="196"/>
      <c r="AB586" s="196"/>
      <c r="AC586" s="196"/>
      <c r="AD586" s="196"/>
      <c r="AE586" s="196"/>
      <c r="AF586" s="196"/>
      <c r="AG586" s="196"/>
      <c r="AH586" s="196"/>
      <c r="AI586" s="196"/>
      <c r="AJ586" s="196"/>
      <c r="AK586" s="196"/>
      <c r="AL586" s="196"/>
      <c r="AM586" s="196"/>
      <c r="AN586" s="196"/>
      <c r="AO586" s="196"/>
      <c r="AP586" s="196"/>
      <c r="AQ586" s="196"/>
      <c r="AR586" s="196"/>
      <c r="AS586" s="196"/>
    </row>
    <row r="587" spans="1:45" ht="15.75" customHeight="1">
      <c r="A587" s="196"/>
      <c r="B587" s="196"/>
      <c r="C587" s="88"/>
      <c r="D587" s="88"/>
      <c r="E587" s="88"/>
      <c r="F587" s="196"/>
      <c r="G587" s="196"/>
      <c r="H587" s="196"/>
      <c r="I587" s="196"/>
      <c r="J587" s="196"/>
      <c r="K587" s="196"/>
      <c r="L587" s="196"/>
      <c r="M587" s="196"/>
      <c r="N587" s="196"/>
      <c r="O587" s="196"/>
      <c r="P587" s="196"/>
      <c r="Q587" s="196"/>
      <c r="R587" s="196"/>
      <c r="S587" s="196"/>
      <c r="T587" s="196"/>
      <c r="U587" s="196"/>
      <c r="V587" s="196"/>
      <c r="W587" s="196"/>
      <c r="X587" s="196"/>
      <c r="Y587" s="196"/>
      <c r="Z587" s="196"/>
      <c r="AA587" s="196"/>
      <c r="AB587" s="196"/>
      <c r="AC587" s="196"/>
      <c r="AD587" s="196"/>
      <c r="AE587" s="196"/>
      <c r="AF587" s="196"/>
      <c r="AG587" s="196"/>
      <c r="AH587" s="196"/>
      <c r="AI587" s="196"/>
      <c r="AJ587" s="196"/>
      <c r="AK587" s="196"/>
      <c r="AL587" s="196"/>
      <c r="AM587" s="196"/>
      <c r="AN587" s="196"/>
      <c r="AO587" s="196"/>
      <c r="AP587" s="196"/>
      <c r="AQ587" s="196"/>
      <c r="AR587" s="196"/>
      <c r="AS587" s="196"/>
    </row>
    <row r="588" spans="1:45" ht="15.75" customHeight="1">
      <c r="A588" s="196"/>
      <c r="B588" s="196"/>
      <c r="C588" s="88"/>
      <c r="D588" s="88"/>
      <c r="E588" s="88"/>
      <c r="F588" s="196"/>
      <c r="G588" s="196"/>
      <c r="H588" s="196"/>
      <c r="I588" s="196"/>
      <c r="J588" s="196"/>
      <c r="K588" s="196"/>
      <c r="L588" s="196"/>
      <c r="M588" s="196"/>
      <c r="N588" s="196"/>
      <c r="O588" s="196"/>
      <c r="P588" s="196"/>
      <c r="Q588" s="196"/>
      <c r="R588" s="196"/>
      <c r="S588" s="196"/>
      <c r="T588" s="196"/>
      <c r="U588" s="196"/>
      <c r="V588" s="196"/>
      <c r="W588" s="196"/>
      <c r="X588" s="196"/>
      <c r="Y588" s="196"/>
      <c r="Z588" s="196"/>
      <c r="AA588" s="196"/>
      <c r="AB588" s="196"/>
      <c r="AC588" s="196"/>
      <c r="AD588" s="196"/>
      <c r="AE588" s="196"/>
      <c r="AF588" s="196"/>
      <c r="AG588" s="196"/>
      <c r="AH588" s="196"/>
      <c r="AI588" s="196"/>
      <c r="AJ588" s="196"/>
      <c r="AK588" s="196"/>
      <c r="AL588" s="196"/>
      <c r="AM588" s="196"/>
      <c r="AN588" s="196"/>
      <c r="AO588" s="196"/>
      <c r="AP588" s="196"/>
      <c r="AQ588" s="196"/>
      <c r="AR588" s="196"/>
      <c r="AS588" s="196"/>
    </row>
    <row r="589" spans="1:45" ht="15.75" customHeight="1">
      <c r="A589" s="196"/>
      <c r="B589" s="196"/>
      <c r="C589" s="88"/>
      <c r="D589" s="88"/>
      <c r="E589" s="88"/>
      <c r="F589" s="196"/>
      <c r="G589" s="196"/>
      <c r="H589" s="196"/>
      <c r="I589" s="196"/>
      <c r="J589" s="196"/>
      <c r="K589" s="196"/>
      <c r="L589" s="196"/>
      <c r="M589" s="196"/>
      <c r="N589" s="196"/>
      <c r="O589" s="196"/>
      <c r="P589" s="196"/>
      <c r="Q589" s="196"/>
      <c r="R589" s="196"/>
      <c r="S589" s="196"/>
      <c r="T589" s="196"/>
      <c r="U589" s="196"/>
      <c r="V589" s="196"/>
      <c r="W589" s="196"/>
      <c r="X589" s="196"/>
      <c r="Y589" s="196"/>
      <c r="Z589" s="196"/>
      <c r="AA589" s="196"/>
      <c r="AB589" s="196"/>
      <c r="AC589" s="196"/>
      <c r="AD589" s="196"/>
      <c r="AE589" s="196"/>
      <c r="AF589" s="196"/>
      <c r="AG589" s="196"/>
      <c r="AH589" s="196"/>
      <c r="AI589" s="196"/>
      <c r="AJ589" s="196"/>
      <c r="AK589" s="196"/>
      <c r="AL589" s="196"/>
      <c r="AM589" s="196"/>
      <c r="AN589" s="196"/>
      <c r="AO589" s="196"/>
      <c r="AP589" s="196"/>
      <c r="AQ589" s="196"/>
      <c r="AR589" s="196"/>
      <c r="AS589" s="196"/>
    </row>
    <row r="590" spans="1:45" ht="15.75" customHeight="1">
      <c r="A590" s="196"/>
      <c r="B590" s="196"/>
      <c r="C590" s="88"/>
      <c r="D590" s="88"/>
      <c r="E590" s="88"/>
      <c r="F590" s="196"/>
      <c r="G590" s="196"/>
      <c r="H590" s="196"/>
      <c r="I590" s="196"/>
      <c r="J590" s="196"/>
      <c r="K590" s="196"/>
      <c r="L590" s="196"/>
      <c r="M590" s="196"/>
      <c r="N590" s="196"/>
      <c r="O590" s="196"/>
      <c r="P590" s="196"/>
      <c r="Q590" s="196"/>
      <c r="R590" s="196"/>
      <c r="S590" s="196"/>
      <c r="T590" s="196"/>
      <c r="U590" s="196"/>
      <c r="V590" s="196"/>
      <c r="W590" s="196"/>
      <c r="X590" s="196"/>
      <c r="Y590" s="196"/>
      <c r="Z590" s="196"/>
      <c r="AA590" s="196"/>
      <c r="AB590" s="196"/>
      <c r="AC590" s="196"/>
      <c r="AD590" s="196"/>
      <c r="AE590" s="196"/>
      <c r="AF590" s="196"/>
      <c r="AG590" s="196"/>
      <c r="AH590" s="196"/>
      <c r="AI590" s="196"/>
      <c r="AJ590" s="196"/>
      <c r="AK590" s="196"/>
      <c r="AL590" s="196"/>
      <c r="AM590" s="196"/>
      <c r="AN590" s="196"/>
      <c r="AO590" s="196"/>
      <c r="AP590" s="196"/>
      <c r="AQ590" s="196"/>
      <c r="AR590" s="196"/>
      <c r="AS590" s="196"/>
    </row>
    <row r="591" spans="1:45" ht="15.75" customHeight="1">
      <c r="A591" s="196"/>
      <c r="B591" s="196"/>
      <c r="C591" s="88"/>
      <c r="D591" s="88"/>
      <c r="E591" s="88"/>
      <c r="F591" s="196"/>
      <c r="G591" s="196"/>
      <c r="H591" s="196"/>
      <c r="I591" s="196"/>
      <c r="J591" s="196"/>
      <c r="K591" s="196"/>
      <c r="L591" s="196"/>
      <c r="M591" s="196"/>
      <c r="N591" s="196"/>
      <c r="O591" s="196"/>
      <c r="P591" s="196"/>
      <c r="Q591" s="196"/>
      <c r="R591" s="196"/>
      <c r="S591" s="196"/>
      <c r="T591" s="196"/>
      <c r="U591" s="196"/>
      <c r="V591" s="196"/>
      <c r="W591" s="196"/>
      <c r="X591" s="196"/>
      <c r="Y591" s="196"/>
      <c r="Z591" s="196"/>
      <c r="AA591" s="196"/>
      <c r="AB591" s="196"/>
      <c r="AC591" s="196"/>
      <c r="AD591" s="196"/>
      <c r="AE591" s="196"/>
      <c r="AF591" s="196"/>
      <c r="AG591" s="196"/>
      <c r="AH591" s="196"/>
      <c r="AI591" s="196"/>
      <c r="AJ591" s="196"/>
      <c r="AK591" s="196"/>
      <c r="AL591" s="196"/>
      <c r="AM591" s="196"/>
      <c r="AN591" s="196"/>
      <c r="AO591" s="196"/>
      <c r="AP591" s="196"/>
      <c r="AQ591" s="196"/>
      <c r="AR591" s="196"/>
      <c r="AS591" s="196"/>
    </row>
    <row r="592" spans="1:45" ht="15.75" customHeight="1">
      <c r="A592" s="196"/>
      <c r="B592" s="196"/>
      <c r="C592" s="88"/>
      <c r="D592" s="88"/>
      <c r="E592" s="88"/>
      <c r="F592" s="196"/>
      <c r="G592" s="196"/>
      <c r="H592" s="196"/>
      <c r="I592" s="196"/>
      <c r="J592" s="196"/>
      <c r="K592" s="196"/>
      <c r="L592" s="196"/>
      <c r="M592" s="196"/>
      <c r="N592" s="196"/>
      <c r="O592" s="196"/>
      <c r="P592" s="196"/>
      <c r="Q592" s="196"/>
      <c r="R592" s="196"/>
      <c r="S592" s="196"/>
      <c r="T592" s="196"/>
      <c r="U592" s="196"/>
      <c r="V592" s="196"/>
      <c r="W592" s="196"/>
      <c r="X592" s="196"/>
      <c r="Y592" s="196"/>
      <c r="Z592" s="196"/>
      <c r="AA592" s="196"/>
      <c r="AB592" s="196"/>
      <c r="AC592" s="196"/>
      <c r="AD592" s="196"/>
      <c r="AE592" s="196"/>
      <c r="AF592" s="196"/>
      <c r="AG592" s="196"/>
      <c r="AH592" s="196"/>
      <c r="AI592" s="196"/>
      <c r="AJ592" s="196"/>
      <c r="AK592" s="196"/>
      <c r="AL592" s="196"/>
      <c r="AM592" s="196"/>
      <c r="AN592" s="196"/>
      <c r="AO592" s="196"/>
      <c r="AP592" s="196"/>
      <c r="AQ592" s="196"/>
      <c r="AR592" s="196"/>
      <c r="AS592" s="196"/>
    </row>
    <row r="593" spans="1:45" ht="15.75" customHeight="1">
      <c r="A593" s="196"/>
      <c r="B593" s="196"/>
      <c r="C593" s="88"/>
      <c r="D593" s="88"/>
      <c r="E593" s="88"/>
      <c r="F593" s="196"/>
      <c r="G593" s="196"/>
      <c r="H593" s="196"/>
      <c r="I593" s="196"/>
      <c r="J593" s="196"/>
      <c r="K593" s="196"/>
      <c r="L593" s="196"/>
      <c r="M593" s="196"/>
      <c r="N593" s="196"/>
      <c r="O593" s="196"/>
      <c r="P593" s="196"/>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row>
    <row r="594" spans="1:45" ht="15.75" customHeight="1">
      <c r="A594" s="196"/>
      <c r="B594" s="196"/>
      <c r="C594" s="88"/>
      <c r="D594" s="88"/>
      <c r="E594" s="88"/>
      <c r="F594" s="196"/>
      <c r="G594" s="196"/>
      <c r="H594" s="196"/>
      <c r="I594" s="196"/>
      <c r="J594" s="196"/>
      <c r="K594" s="196"/>
      <c r="L594" s="196"/>
      <c r="M594" s="196"/>
      <c r="N594" s="196"/>
      <c r="O594" s="196"/>
      <c r="P594" s="196"/>
      <c r="Q594" s="196"/>
      <c r="R594" s="196"/>
      <c r="S594" s="196"/>
      <c r="T594" s="196"/>
      <c r="U594" s="196"/>
      <c r="V594" s="196"/>
      <c r="W594" s="196"/>
      <c r="X594" s="196"/>
      <c r="Y594" s="196"/>
      <c r="Z594" s="196"/>
      <c r="AA594" s="196"/>
      <c r="AB594" s="196"/>
      <c r="AC594" s="196"/>
      <c r="AD594" s="196"/>
      <c r="AE594" s="196"/>
      <c r="AF594" s="196"/>
      <c r="AG594" s="196"/>
      <c r="AH594" s="196"/>
      <c r="AI594" s="196"/>
      <c r="AJ594" s="196"/>
      <c r="AK594" s="196"/>
      <c r="AL594" s="196"/>
      <c r="AM594" s="196"/>
      <c r="AN594" s="196"/>
      <c r="AO594" s="196"/>
      <c r="AP594" s="196"/>
      <c r="AQ594" s="196"/>
      <c r="AR594" s="196"/>
      <c r="AS594" s="196"/>
    </row>
    <row r="595" spans="1:45" ht="15.75" customHeight="1">
      <c r="A595" s="196"/>
      <c r="B595" s="196"/>
      <c r="C595" s="88"/>
      <c r="D595" s="88"/>
      <c r="E595" s="88"/>
      <c r="F595" s="196"/>
      <c r="G595" s="196"/>
      <c r="H595" s="196"/>
      <c r="I595" s="196"/>
      <c r="J595" s="196"/>
      <c r="K595" s="196"/>
      <c r="L595" s="196"/>
      <c r="M595" s="196"/>
      <c r="N595" s="196"/>
      <c r="O595" s="196"/>
      <c r="P595" s="196"/>
      <c r="Q595" s="196"/>
      <c r="R595" s="196"/>
      <c r="S595" s="196"/>
      <c r="T595" s="196"/>
      <c r="U595" s="196"/>
      <c r="V595" s="196"/>
      <c r="W595" s="196"/>
      <c r="X595" s="196"/>
      <c r="Y595" s="196"/>
      <c r="Z595" s="196"/>
      <c r="AA595" s="196"/>
      <c r="AB595" s="196"/>
      <c r="AC595" s="196"/>
      <c r="AD595" s="196"/>
      <c r="AE595" s="196"/>
      <c r="AF595" s="196"/>
      <c r="AG595" s="196"/>
      <c r="AH595" s="196"/>
      <c r="AI595" s="196"/>
      <c r="AJ595" s="196"/>
      <c r="AK595" s="196"/>
      <c r="AL595" s="196"/>
      <c r="AM595" s="196"/>
      <c r="AN595" s="196"/>
      <c r="AO595" s="196"/>
      <c r="AP595" s="196"/>
      <c r="AQ595" s="196"/>
      <c r="AR595" s="196"/>
      <c r="AS595" s="196"/>
    </row>
    <row r="596" spans="1:45" ht="15.75" customHeight="1">
      <c r="A596" s="196"/>
      <c r="B596" s="196"/>
      <c r="C596" s="88"/>
      <c r="D596" s="88"/>
      <c r="E596" s="88"/>
      <c r="F596" s="196"/>
      <c r="G596" s="196"/>
      <c r="H596" s="196"/>
      <c r="I596" s="196"/>
      <c r="J596" s="196"/>
      <c r="K596" s="196"/>
      <c r="L596" s="196"/>
      <c r="M596" s="196"/>
      <c r="N596" s="196"/>
      <c r="O596" s="196"/>
      <c r="P596" s="196"/>
      <c r="Q596" s="196"/>
      <c r="R596" s="196"/>
      <c r="S596" s="196"/>
      <c r="T596" s="196"/>
      <c r="U596" s="196"/>
      <c r="V596" s="196"/>
      <c r="W596" s="196"/>
      <c r="X596" s="196"/>
      <c r="Y596" s="196"/>
      <c r="Z596" s="196"/>
      <c r="AA596" s="196"/>
      <c r="AB596" s="196"/>
      <c r="AC596" s="196"/>
      <c r="AD596" s="196"/>
      <c r="AE596" s="196"/>
      <c r="AF596" s="196"/>
      <c r="AG596" s="196"/>
      <c r="AH596" s="196"/>
      <c r="AI596" s="196"/>
      <c r="AJ596" s="196"/>
      <c r="AK596" s="196"/>
      <c r="AL596" s="196"/>
      <c r="AM596" s="196"/>
      <c r="AN596" s="196"/>
      <c r="AO596" s="196"/>
      <c r="AP596" s="196"/>
      <c r="AQ596" s="196"/>
      <c r="AR596" s="196"/>
      <c r="AS596" s="196"/>
    </row>
    <row r="597" spans="1:45" ht="15.75" customHeight="1">
      <c r="A597" s="196"/>
      <c r="B597" s="196"/>
      <c r="C597" s="88"/>
      <c r="D597" s="88"/>
      <c r="E597" s="88"/>
      <c r="F597" s="196"/>
      <c r="G597" s="196"/>
      <c r="H597" s="196"/>
      <c r="I597" s="196"/>
      <c r="J597" s="196"/>
      <c r="K597" s="196"/>
      <c r="L597" s="196"/>
      <c r="M597" s="196"/>
      <c r="N597" s="196"/>
      <c r="O597" s="196"/>
      <c r="P597" s="196"/>
      <c r="Q597" s="196"/>
      <c r="R597" s="196"/>
      <c r="S597" s="196"/>
      <c r="T597" s="196"/>
      <c r="U597" s="196"/>
      <c r="V597" s="196"/>
      <c r="W597" s="196"/>
      <c r="X597" s="196"/>
      <c r="Y597" s="196"/>
      <c r="Z597" s="196"/>
      <c r="AA597" s="196"/>
      <c r="AB597" s="196"/>
      <c r="AC597" s="196"/>
      <c r="AD597" s="196"/>
      <c r="AE597" s="196"/>
      <c r="AF597" s="196"/>
      <c r="AG597" s="196"/>
      <c r="AH597" s="196"/>
      <c r="AI597" s="196"/>
      <c r="AJ597" s="196"/>
      <c r="AK597" s="196"/>
      <c r="AL597" s="196"/>
      <c r="AM597" s="196"/>
      <c r="AN597" s="196"/>
      <c r="AO597" s="196"/>
      <c r="AP597" s="196"/>
      <c r="AQ597" s="196"/>
      <c r="AR597" s="196"/>
      <c r="AS597" s="196"/>
    </row>
    <row r="598" spans="1:45" ht="15.75" customHeight="1">
      <c r="A598" s="196"/>
      <c r="B598" s="196"/>
      <c r="C598" s="88"/>
      <c r="D598" s="88"/>
      <c r="E598" s="88"/>
      <c r="F598" s="196"/>
      <c r="G598" s="196"/>
      <c r="H598" s="196"/>
      <c r="I598" s="196"/>
      <c r="J598" s="196"/>
      <c r="K598" s="196"/>
      <c r="L598" s="196"/>
      <c r="M598" s="196"/>
      <c r="N598" s="196"/>
      <c r="O598" s="196"/>
      <c r="P598" s="196"/>
      <c r="Q598" s="196"/>
      <c r="R598" s="196"/>
      <c r="S598" s="196"/>
      <c r="T598" s="196"/>
      <c r="U598" s="196"/>
      <c r="V598" s="196"/>
      <c r="W598" s="196"/>
      <c r="X598" s="196"/>
      <c r="Y598" s="196"/>
      <c r="Z598" s="196"/>
      <c r="AA598" s="196"/>
      <c r="AB598" s="196"/>
      <c r="AC598" s="196"/>
      <c r="AD598" s="196"/>
      <c r="AE598" s="196"/>
      <c r="AF598" s="196"/>
      <c r="AG598" s="196"/>
      <c r="AH598" s="196"/>
      <c r="AI598" s="196"/>
      <c r="AJ598" s="196"/>
      <c r="AK598" s="196"/>
      <c r="AL598" s="196"/>
      <c r="AM598" s="196"/>
      <c r="AN598" s="196"/>
      <c r="AO598" s="196"/>
      <c r="AP598" s="196"/>
      <c r="AQ598" s="196"/>
      <c r="AR598" s="196"/>
      <c r="AS598" s="196"/>
    </row>
    <row r="599" spans="1:45" ht="15.75" customHeight="1">
      <c r="A599" s="196"/>
      <c r="B599" s="196"/>
      <c r="C599" s="88"/>
      <c r="D599" s="88"/>
      <c r="E599" s="88"/>
      <c r="F599" s="196"/>
      <c r="G599" s="196"/>
      <c r="H599" s="196"/>
      <c r="I599" s="196"/>
      <c r="J599" s="196"/>
      <c r="K599" s="196"/>
      <c r="L599" s="196"/>
      <c r="M599" s="196"/>
      <c r="N599" s="196"/>
      <c r="O599" s="196"/>
      <c r="P599" s="196"/>
      <c r="Q599" s="196"/>
      <c r="R599" s="196"/>
      <c r="S599" s="196"/>
      <c r="T599" s="196"/>
      <c r="U599" s="196"/>
      <c r="V599" s="196"/>
      <c r="W599" s="196"/>
      <c r="X599" s="196"/>
      <c r="Y599" s="196"/>
      <c r="Z599" s="196"/>
      <c r="AA599" s="196"/>
      <c r="AB599" s="196"/>
      <c r="AC599" s="196"/>
      <c r="AD599" s="196"/>
      <c r="AE599" s="196"/>
      <c r="AF599" s="196"/>
      <c r="AG599" s="196"/>
      <c r="AH599" s="196"/>
      <c r="AI599" s="196"/>
      <c r="AJ599" s="196"/>
      <c r="AK599" s="196"/>
      <c r="AL599" s="196"/>
      <c r="AM599" s="196"/>
      <c r="AN599" s="196"/>
      <c r="AO599" s="196"/>
      <c r="AP599" s="196"/>
      <c r="AQ599" s="196"/>
      <c r="AR599" s="196"/>
      <c r="AS599" s="196"/>
    </row>
    <row r="600" spans="1:45" ht="15.75" customHeight="1">
      <c r="A600" s="196"/>
      <c r="B600" s="196"/>
      <c r="C600" s="88"/>
      <c r="D600" s="88"/>
      <c r="E600" s="88"/>
      <c r="F600" s="196"/>
      <c r="G600" s="196"/>
      <c r="H600" s="196"/>
      <c r="I600" s="196"/>
      <c r="J600" s="196"/>
      <c r="K600" s="196"/>
      <c r="L600" s="196"/>
      <c r="M600" s="196"/>
      <c r="N600" s="196"/>
      <c r="O600" s="196"/>
      <c r="P600" s="196"/>
      <c r="Q600" s="196"/>
      <c r="R600" s="196"/>
      <c r="S600" s="196"/>
      <c r="T600" s="196"/>
      <c r="U600" s="196"/>
      <c r="V600" s="196"/>
      <c r="W600" s="196"/>
      <c r="X600" s="196"/>
      <c r="Y600" s="196"/>
      <c r="Z600" s="196"/>
      <c r="AA600" s="196"/>
      <c r="AB600" s="196"/>
      <c r="AC600" s="196"/>
      <c r="AD600" s="196"/>
      <c r="AE600" s="196"/>
      <c r="AF600" s="196"/>
      <c r="AG600" s="196"/>
      <c r="AH600" s="196"/>
      <c r="AI600" s="196"/>
      <c r="AJ600" s="196"/>
      <c r="AK600" s="196"/>
      <c r="AL600" s="196"/>
      <c r="AM600" s="196"/>
      <c r="AN600" s="196"/>
      <c r="AO600" s="196"/>
      <c r="AP600" s="196"/>
      <c r="AQ600" s="196"/>
      <c r="AR600" s="196"/>
      <c r="AS600" s="196"/>
    </row>
    <row r="601" spans="1:45" ht="15.75" customHeight="1">
      <c r="A601" s="196"/>
      <c r="B601" s="196"/>
      <c r="C601" s="88"/>
      <c r="D601" s="88"/>
      <c r="E601" s="88"/>
      <c r="F601" s="196"/>
      <c r="G601" s="196"/>
      <c r="H601" s="196"/>
      <c r="I601" s="196"/>
      <c r="J601" s="196"/>
      <c r="K601" s="196"/>
      <c r="L601" s="196"/>
      <c r="M601" s="196"/>
      <c r="N601" s="196"/>
      <c r="O601" s="196"/>
      <c r="P601" s="196"/>
      <c r="Q601" s="196"/>
      <c r="R601" s="196"/>
      <c r="S601" s="196"/>
      <c r="T601" s="196"/>
      <c r="U601" s="196"/>
      <c r="V601" s="196"/>
      <c r="W601" s="196"/>
      <c r="X601" s="196"/>
      <c r="Y601" s="196"/>
      <c r="Z601" s="196"/>
      <c r="AA601" s="196"/>
      <c r="AB601" s="196"/>
      <c r="AC601" s="196"/>
      <c r="AD601" s="196"/>
      <c r="AE601" s="196"/>
      <c r="AF601" s="196"/>
      <c r="AG601" s="196"/>
      <c r="AH601" s="196"/>
      <c r="AI601" s="196"/>
      <c r="AJ601" s="196"/>
      <c r="AK601" s="196"/>
      <c r="AL601" s="196"/>
      <c r="AM601" s="196"/>
      <c r="AN601" s="196"/>
      <c r="AO601" s="196"/>
      <c r="AP601" s="196"/>
      <c r="AQ601" s="196"/>
      <c r="AR601" s="196"/>
      <c r="AS601" s="196"/>
    </row>
    <row r="602" spans="1:45" ht="15.75" customHeight="1">
      <c r="A602" s="196"/>
      <c r="B602" s="196"/>
      <c r="C602" s="88"/>
      <c r="D602" s="88"/>
      <c r="E602" s="88"/>
      <c r="F602" s="196"/>
      <c r="G602" s="196"/>
      <c r="H602" s="196"/>
      <c r="I602" s="196"/>
      <c r="J602" s="196"/>
      <c r="K602" s="196"/>
      <c r="L602" s="196"/>
      <c r="M602" s="196"/>
      <c r="N602" s="196"/>
      <c r="O602" s="196"/>
      <c r="P602" s="196"/>
      <c r="Q602" s="196"/>
      <c r="R602" s="196"/>
      <c r="S602" s="196"/>
      <c r="T602" s="196"/>
      <c r="U602" s="196"/>
      <c r="V602" s="196"/>
      <c r="W602" s="196"/>
      <c r="X602" s="196"/>
      <c r="Y602" s="196"/>
      <c r="Z602" s="196"/>
      <c r="AA602" s="196"/>
      <c r="AB602" s="196"/>
      <c r="AC602" s="196"/>
      <c r="AD602" s="196"/>
      <c r="AE602" s="196"/>
      <c r="AF602" s="196"/>
      <c r="AG602" s="196"/>
      <c r="AH602" s="196"/>
      <c r="AI602" s="196"/>
      <c r="AJ602" s="196"/>
      <c r="AK602" s="196"/>
      <c r="AL602" s="196"/>
      <c r="AM602" s="196"/>
      <c r="AN602" s="196"/>
      <c r="AO602" s="196"/>
      <c r="AP602" s="196"/>
      <c r="AQ602" s="196"/>
      <c r="AR602" s="196"/>
      <c r="AS602" s="196"/>
    </row>
    <row r="603" spans="1:45" ht="15.75" customHeight="1">
      <c r="A603" s="196"/>
      <c r="B603" s="196"/>
      <c r="C603" s="88"/>
      <c r="D603" s="88"/>
      <c r="E603" s="88"/>
      <c r="F603" s="196"/>
      <c r="G603" s="196"/>
      <c r="H603" s="196"/>
      <c r="I603" s="196"/>
      <c r="J603" s="196"/>
      <c r="K603" s="196"/>
      <c r="L603" s="196"/>
      <c r="M603" s="196"/>
      <c r="N603" s="196"/>
      <c r="O603" s="196"/>
      <c r="P603" s="196"/>
      <c r="Q603" s="196"/>
      <c r="R603" s="196"/>
      <c r="S603" s="196"/>
      <c r="T603" s="196"/>
      <c r="U603" s="196"/>
      <c r="V603" s="196"/>
      <c r="W603" s="196"/>
      <c r="X603" s="196"/>
      <c r="Y603" s="196"/>
      <c r="Z603" s="196"/>
      <c r="AA603" s="196"/>
      <c r="AB603" s="196"/>
      <c r="AC603" s="196"/>
      <c r="AD603" s="196"/>
      <c r="AE603" s="196"/>
      <c r="AF603" s="196"/>
      <c r="AG603" s="196"/>
      <c r="AH603" s="196"/>
      <c r="AI603" s="196"/>
      <c r="AJ603" s="196"/>
      <c r="AK603" s="196"/>
      <c r="AL603" s="196"/>
      <c r="AM603" s="196"/>
      <c r="AN603" s="196"/>
      <c r="AO603" s="196"/>
      <c r="AP603" s="196"/>
      <c r="AQ603" s="196"/>
      <c r="AR603" s="196"/>
      <c r="AS603" s="196"/>
    </row>
    <row r="604" spans="1:45" ht="15.75" customHeight="1">
      <c r="A604" s="196"/>
      <c r="B604" s="196"/>
      <c r="C604" s="88"/>
      <c r="D604" s="88"/>
      <c r="E604" s="88"/>
      <c r="F604" s="196"/>
      <c r="G604" s="196"/>
      <c r="H604" s="196"/>
      <c r="I604" s="196"/>
      <c r="J604" s="196"/>
      <c r="K604" s="196"/>
      <c r="L604" s="196"/>
      <c r="M604" s="196"/>
      <c r="N604" s="196"/>
      <c r="O604" s="196"/>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row>
    <row r="605" spans="1:45" ht="15.75" customHeight="1">
      <c r="A605" s="196"/>
      <c r="B605" s="196"/>
      <c r="C605" s="88"/>
      <c r="D605" s="88"/>
      <c r="E605" s="88"/>
      <c r="F605" s="196"/>
      <c r="G605" s="196"/>
      <c r="H605" s="196"/>
      <c r="I605" s="196"/>
      <c r="J605" s="196"/>
      <c r="K605" s="196"/>
      <c r="L605" s="196"/>
      <c r="M605" s="196"/>
      <c r="N605" s="196"/>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row>
    <row r="606" spans="1:45" ht="15.75" customHeight="1">
      <c r="A606" s="196"/>
      <c r="B606" s="196"/>
      <c r="C606" s="88"/>
      <c r="D606" s="88"/>
      <c r="E606" s="88"/>
      <c r="F606" s="196"/>
      <c r="G606" s="196"/>
      <c r="H606" s="196"/>
      <c r="I606" s="196"/>
      <c r="J606" s="196"/>
      <c r="K606" s="196"/>
      <c r="L606" s="196"/>
      <c r="M606" s="196"/>
      <c r="N606" s="196"/>
      <c r="O606" s="196"/>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row>
    <row r="607" spans="1:45" ht="15.75" customHeight="1">
      <c r="A607" s="196"/>
      <c r="B607" s="196"/>
      <c r="C607" s="88"/>
      <c r="D607" s="88"/>
      <c r="E607" s="88"/>
      <c r="F607" s="196"/>
      <c r="G607" s="196"/>
      <c r="H607" s="196"/>
      <c r="I607" s="196"/>
      <c r="J607" s="196"/>
      <c r="K607" s="196"/>
      <c r="L607" s="196"/>
      <c r="M607" s="196"/>
      <c r="N607" s="196"/>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row>
    <row r="608" spans="1:45" ht="15.75" customHeight="1">
      <c r="A608" s="196"/>
      <c r="B608" s="196"/>
      <c r="C608" s="88"/>
      <c r="D608" s="88"/>
      <c r="E608" s="88"/>
      <c r="F608" s="196"/>
      <c r="G608" s="196"/>
      <c r="H608" s="196"/>
      <c r="I608" s="196"/>
      <c r="J608" s="196"/>
      <c r="K608" s="196"/>
      <c r="L608" s="196"/>
      <c r="M608" s="196"/>
      <c r="N608" s="196"/>
      <c r="O608" s="196"/>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row>
    <row r="609" spans="1:45" ht="15.75" customHeight="1">
      <c r="A609" s="196"/>
      <c r="B609" s="196"/>
      <c r="C609" s="88"/>
      <c r="D609" s="88"/>
      <c r="E609" s="88"/>
      <c r="F609" s="196"/>
      <c r="G609" s="196"/>
      <c r="H609" s="196"/>
      <c r="I609" s="196"/>
      <c r="J609" s="196"/>
      <c r="K609" s="196"/>
      <c r="L609" s="196"/>
      <c r="M609" s="196"/>
      <c r="N609" s="196"/>
      <c r="O609" s="196"/>
      <c r="P609" s="196"/>
      <c r="Q609" s="196"/>
      <c r="R609" s="196"/>
      <c r="S609" s="196"/>
      <c r="T609" s="196"/>
      <c r="U609" s="196"/>
      <c r="V609" s="196"/>
      <c r="W609" s="196"/>
      <c r="X609" s="196"/>
      <c r="Y609" s="196"/>
      <c r="Z609" s="196"/>
      <c r="AA609" s="196"/>
      <c r="AB609" s="196"/>
      <c r="AC609" s="196"/>
      <c r="AD609" s="196"/>
      <c r="AE609" s="196"/>
      <c r="AF609" s="196"/>
      <c r="AG609" s="196"/>
      <c r="AH609" s="196"/>
      <c r="AI609" s="196"/>
      <c r="AJ609" s="196"/>
      <c r="AK609" s="196"/>
      <c r="AL609" s="196"/>
      <c r="AM609" s="196"/>
      <c r="AN609" s="196"/>
      <c r="AO609" s="196"/>
      <c r="AP609" s="196"/>
      <c r="AQ609" s="196"/>
      <c r="AR609" s="196"/>
      <c r="AS609" s="196"/>
    </row>
    <row r="610" spans="1:45" ht="15.75" customHeight="1">
      <c r="A610" s="196"/>
      <c r="B610" s="196"/>
      <c r="C610" s="88"/>
      <c r="D610" s="88"/>
      <c r="E610" s="88"/>
      <c r="F610" s="196"/>
      <c r="G610" s="196"/>
      <c r="H610" s="196"/>
      <c r="I610" s="196"/>
      <c r="J610" s="196"/>
      <c r="K610" s="196"/>
      <c r="L610" s="196"/>
      <c r="M610" s="196"/>
      <c r="N610" s="196"/>
      <c r="O610" s="196"/>
      <c r="P610" s="196"/>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row>
    <row r="611" spans="1:45" ht="15.75" customHeight="1">
      <c r="A611" s="196"/>
      <c r="B611" s="196"/>
      <c r="C611" s="88"/>
      <c r="D611" s="88"/>
      <c r="E611" s="88"/>
      <c r="F611" s="196"/>
      <c r="G611" s="196"/>
      <c r="H611" s="196"/>
      <c r="I611" s="196"/>
      <c r="J611" s="196"/>
      <c r="K611" s="196"/>
      <c r="L611" s="196"/>
      <c r="M611" s="196"/>
      <c r="N611" s="196"/>
      <c r="O611" s="196"/>
      <c r="P611" s="196"/>
      <c r="Q611" s="196"/>
      <c r="R611" s="196"/>
      <c r="S611" s="196"/>
      <c r="T611" s="196"/>
      <c r="U611" s="196"/>
      <c r="V611" s="196"/>
      <c r="W611" s="196"/>
      <c r="X611" s="196"/>
      <c r="Y611" s="196"/>
      <c r="Z611" s="196"/>
      <c r="AA611" s="196"/>
      <c r="AB611" s="196"/>
      <c r="AC611" s="196"/>
      <c r="AD611" s="196"/>
      <c r="AE611" s="196"/>
      <c r="AF611" s="196"/>
      <c r="AG611" s="196"/>
      <c r="AH611" s="196"/>
      <c r="AI611" s="196"/>
      <c r="AJ611" s="196"/>
      <c r="AK611" s="196"/>
      <c r="AL611" s="196"/>
      <c r="AM611" s="196"/>
      <c r="AN611" s="196"/>
      <c r="AO611" s="196"/>
      <c r="AP611" s="196"/>
      <c r="AQ611" s="196"/>
      <c r="AR611" s="196"/>
      <c r="AS611" s="196"/>
    </row>
    <row r="612" spans="1:45" ht="15.75" customHeight="1">
      <c r="A612" s="196"/>
      <c r="B612" s="196"/>
      <c r="C612" s="88"/>
      <c r="D612" s="88"/>
      <c r="E612" s="88"/>
      <c r="F612" s="196"/>
      <c r="G612" s="196"/>
      <c r="H612" s="196"/>
      <c r="I612" s="196"/>
      <c r="J612" s="196"/>
      <c r="K612" s="196"/>
      <c r="L612" s="196"/>
      <c r="M612" s="196"/>
      <c r="N612" s="196"/>
      <c r="O612" s="196"/>
      <c r="P612" s="196"/>
      <c r="Q612" s="196"/>
      <c r="R612" s="196"/>
      <c r="S612" s="196"/>
      <c r="T612" s="196"/>
      <c r="U612" s="196"/>
      <c r="V612" s="196"/>
      <c r="W612" s="196"/>
      <c r="X612" s="196"/>
      <c r="Y612" s="196"/>
      <c r="Z612" s="196"/>
      <c r="AA612" s="196"/>
      <c r="AB612" s="196"/>
      <c r="AC612" s="196"/>
      <c r="AD612" s="196"/>
      <c r="AE612" s="196"/>
      <c r="AF612" s="196"/>
      <c r="AG612" s="196"/>
      <c r="AH612" s="196"/>
      <c r="AI612" s="196"/>
      <c r="AJ612" s="196"/>
      <c r="AK612" s="196"/>
      <c r="AL612" s="196"/>
      <c r="AM612" s="196"/>
      <c r="AN612" s="196"/>
      <c r="AO612" s="196"/>
      <c r="AP612" s="196"/>
      <c r="AQ612" s="196"/>
      <c r="AR612" s="196"/>
      <c r="AS612" s="196"/>
    </row>
    <row r="613" spans="1:45" ht="15.75" customHeight="1">
      <c r="A613" s="196"/>
      <c r="B613" s="196"/>
      <c r="C613" s="88"/>
      <c r="D613" s="88"/>
      <c r="E613" s="88"/>
      <c r="F613" s="196"/>
      <c r="G613" s="196"/>
      <c r="H613" s="196"/>
      <c r="I613" s="196"/>
      <c r="J613" s="196"/>
      <c r="K613" s="196"/>
      <c r="L613" s="196"/>
      <c r="M613" s="196"/>
      <c r="N613" s="196"/>
      <c r="O613" s="196"/>
      <c r="P613" s="196"/>
      <c r="Q613" s="196"/>
      <c r="R613" s="196"/>
      <c r="S613" s="196"/>
      <c r="T613" s="196"/>
      <c r="U613" s="196"/>
      <c r="V613" s="196"/>
      <c r="W613" s="196"/>
      <c r="X613" s="196"/>
      <c r="Y613" s="196"/>
      <c r="Z613" s="196"/>
      <c r="AA613" s="196"/>
      <c r="AB613" s="196"/>
      <c r="AC613" s="196"/>
      <c r="AD613" s="196"/>
      <c r="AE613" s="196"/>
      <c r="AF613" s="196"/>
      <c r="AG613" s="196"/>
      <c r="AH613" s="196"/>
      <c r="AI613" s="196"/>
      <c r="AJ613" s="196"/>
      <c r="AK613" s="196"/>
      <c r="AL613" s="196"/>
      <c r="AM613" s="196"/>
      <c r="AN613" s="196"/>
      <c r="AO613" s="196"/>
      <c r="AP613" s="196"/>
      <c r="AQ613" s="196"/>
      <c r="AR613" s="196"/>
      <c r="AS613" s="196"/>
    </row>
    <row r="614" spans="1:45" ht="15.75" customHeight="1">
      <c r="A614" s="196"/>
      <c r="B614" s="196"/>
      <c r="C614" s="88"/>
      <c r="D614" s="88"/>
      <c r="E614" s="88"/>
      <c r="F614" s="196"/>
      <c r="G614" s="196"/>
      <c r="H614" s="196"/>
      <c r="I614" s="196"/>
      <c r="J614" s="196"/>
      <c r="K614" s="196"/>
      <c r="L614" s="196"/>
      <c r="M614" s="196"/>
      <c r="N614" s="196"/>
      <c r="O614" s="196"/>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row>
    <row r="615" spans="1:45" ht="15.75" customHeight="1">
      <c r="A615" s="196"/>
      <c r="B615" s="196"/>
      <c r="C615" s="88"/>
      <c r="D615" s="88"/>
      <c r="E615" s="88"/>
      <c r="F615" s="196"/>
      <c r="G615" s="196"/>
      <c r="H615" s="196"/>
      <c r="I615" s="196"/>
      <c r="J615" s="196"/>
      <c r="K615" s="196"/>
      <c r="L615" s="196"/>
      <c r="M615" s="196"/>
      <c r="N615" s="196"/>
      <c r="O615" s="196"/>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row>
    <row r="616" spans="1:45" ht="15.75" customHeight="1">
      <c r="A616" s="196"/>
      <c r="B616" s="196"/>
      <c r="C616" s="88"/>
      <c r="D616" s="88"/>
      <c r="E616" s="88"/>
      <c r="F616" s="196"/>
      <c r="G616" s="196"/>
      <c r="H616" s="196"/>
      <c r="I616" s="196"/>
      <c r="J616" s="196"/>
      <c r="K616" s="196"/>
      <c r="L616" s="196"/>
      <c r="M616" s="196"/>
      <c r="N616" s="196"/>
      <c r="O616" s="196"/>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row>
    <row r="617" spans="1:45" ht="15.75" customHeight="1">
      <c r="A617" s="196"/>
      <c r="B617" s="196"/>
      <c r="C617" s="88"/>
      <c r="D617" s="88"/>
      <c r="E617" s="88"/>
      <c r="F617" s="196"/>
      <c r="G617" s="196"/>
      <c r="H617" s="196"/>
      <c r="I617" s="196"/>
      <c r="J617" s="196"/>
      <c r="K617" s="196"/>
      <c r="L617" s="196"/>
      <c r="M617" s="196"/>
      <c r="N617" s="196"/>
      <c r="O617" s="196"/>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row>
    <row r="618" spans="1:45" ht="15.75" customHeight="1">
      <c r="A618" s="196"/>
      <c r="B618" s="196"/>
      <c r="C618" s="88"/>
      <c r="D618" s="88"/>
      <c r="E618" s="88"/>
      <c r="F618" s="196"/>
      <c r="G618" s="196"/>
      <c r="H618" s="196"/>
      <c r="I618" s="196"/>
      <c r="J618" s="196"/>
      <c r="K618" s="196"/>
      <c r="L618" s="196"/>
      <c r="M618" s="196"/>
      <c r="N618" s="196"/>
      <c r="O618" s="196"/>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row>
    <row r="619" spans="1:45" ht="15.75" customHeight="1">
      <c r="A619" s="196"/>
      <c r="B619" s="196"/>
      <c r="C619" s="88"/>
      <c r="D619" s="88"/>
      <c r="E619" s="88"/>
      <c r="F619" s="196"/>
      <c r="G619" s="196"/>
      <c r="H619" s="196"/>
      <c r="I619" s="196"/>
      <c r="J619" s="196"/>
      <c r="K619" s="196"/>
      <c r="L619" s="196"/>
      <c r="M619" s="196"/>
      <c r="N619" s="196"/>
      <c r="O619" s="196"/>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row>
    <row r="620" spans="1:45" ht="15.75" customHeight="1">
      <c r="A620" s="196"/>
      <c r="B620" s="196"/>
      <c r="C620" s="88"/>
      <c r="D620" s="88"/>
      <c r="E620" s="88"/>
      <c r="F620" s="196"/>
      <c r="G620" s="196"/>
      <c r="H620" s="196"/>
      <c r="I620" s="196"/>
      <c r="J620" s="196"/>
      <c r="K620" s="196"/>
      <c r="L620" s="196"/>
      <c r="M620" s="196"/>
      <c r="N620" s="196"/>
      <c r="O620" s="196"/>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row>
    <row r="621" spans="1:45" ht="15.75" customHeight="1">
      <c r="A621" s="196"/>
      <c r="B621" s="196"/>
      <c r="C621" s="88"/>
      <c r="D621" s="88"/>
      <c r="E621" s="88"/>
      <c r="F621" s="196"/>
      <c r="G621" s="196"/>
      <c r="H621" s="196"/>
      <c r="I621" s="196"/>
      <c r="J621" s="196"/>
      <c r="K621" s="196"/>
      <c r="L621" s="196"/>
      <c r="M621" s="196"/>
      <c r="N621" s="196"/>
      <c r="O621" s="196"/>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row>
    <row r="622" spans="1:45" ht="15.75" customHeight="1">
      <c r="A622" s="196"/>
      <c r="B622" s="196"/>
      <c r="C622" s="88"/>
      <c r="D622" s="88"/>
      <c r="E622" s="88"/>
      <c r="F622" s="196"/>
      <c r="G622" s="196"/>
      <c r="H622" s="196"/>
      <c r="I622" s="196"/>
      <c r="J622" s="196"/>
      <c r="K622" s="196"/>
      <c r="L622" s="196"/>
      <c r="M622" s="196"/>
      <c r="N622" s="196"/>
      <c r="O622" s="196"/>
      <c r="P622" s="196"/>
      <c r="Q622" s="196"/>
      <c r="R622" s="196"/>
      <c r="S622" s="196"/>
      <c r="T622" s="196"/>
      <c r="U622" s="196"/>
      <c r="V622" s="196"/>
      <c r="W622" s="196"/>
      <c r="X622" s="196"/>
      <c r="Y622" s="196"/>
      <c r="Z622" s="196"/>
      <c r="AA622" s="196"/>
      <c r="AB622" s="196"/>
      <c r="AC622" s="196"/>
      <c r="AD622" s="196"/>
      <c r="AE622" s="196"/>
      <c r="AF622" s="196"/>
      <c r="AG622" s="196"/>
      <c r="AH622" s="196"/>
      <c r="AI622" s="196"/>
      <c r="AJ622" s="196"/>
      <c r="AK622" s="196"/>
      <c r="AL622" s="196"/>
      <c r="AM622" s="196"/>
      <c r="AN622" s="196"/>
      <c r="AO622" s="196"/>
      <c r="AP622" s="196"/>
      <c r="AQ622" s="196"/>
      <c r="AR622" s="196"/>
      <c r="AS622" s="196"/>
    </row>
    <row r="623" spans="1:45" ht="15.75" customHeight="1">
      <c r="A623" s="196"/>
      <c r="B623" s="196"/>
      <c r="C623" s="88"/>
      <c r="D623" s="88"/>
      <c r="E623" s="88"/>
      <c r="F623" s="196"/>
      <c r="G623" s="196"/>
      <c r="H623" s="196"/>
      <c r="I623" s="196"/>
      <c r="J623" s="196"/>
      <c r="K623" s="196"/>
      <c r="L623" s="196"/>
      <c r="M623" s="196"/>
      <c r="N623" s="196"/>
      <c r="O623" s="196"/>
      <c r="P623" s="196"/>
      <c r="Q623" s="196"/>
      <c r="R623" s="196"/>
      <c r="S623" s="196"/>
      <c r="T623" s="196"/>
      <c r="U623" s="196"/>
      <c r="V623" s="196"/>
      <c r="W623" s="196"/>
      <c r="X623" s="196"/>
      <c r="Y623" s="196"/>
      <c r="Z623" s="196"/>
      <c r="AA623" s="196"/>
      <c r="AB623" s="196"/>
      <c r="AC623" s="196"/>
      <c r="AD623" s="196"/>
      <c r="AE623" s="196"/>
      <c r="AF623" s="196"/>
      <c r="AG623" s="196"/>
      <c r="AH623" s="196"/>
      <c r="AI623" s="196"/>
      <c r="AJ623" s="196"/>
      <c r="AK623" s="196"/>
      <c r="AL623" s="196"/>
      <c r="AM623" s="196"/>
      <c r="AN623" s="196"/>
      <c r="AO623" s="196"/>
      <c r="AP623" s="196"/>
      <c r="AQ623" s="196"/>
      <c r="AR623" s="196"/>
      <c r="AS623" s="196"/>
    </row>
    <row r="624" spans="1:45" ht="15.75" customHeight="1">
      <c r="A624" s="196"/>
      <c r="B624" s="196"/>
      <c r="C624" s="88"/>
      <c r="D624" s="88"/>
      <c r="E624" s="88"/>
      <c r="F624" s="196"/>
      <c r="G624" s="196"/>
      <c r="H624" s="196"/>
      <c r="I624" s="196"/>
      <c r="J624" s="196"/>
      <c r="K624" s="196"/>
      <c r="L624" s="196"/>
      <c r="M624" s="196"/>
      <c r="N624" s="196"/>
      <c r="O624" s="196"/>
      <c r="P624" s="196"/>
      <c r="Q624" s="196"/>
      <c r="R624" s="196"/>
      <c r="S624" s="196"/>
      <c r="T624" s="196"/>
      <c r="U624" s="196"/>
      <c r="V624" s="196"/>
      <c r="W624" s="196"/>
      <c r="X624" s="196"/>
      <c r="Y624" s="196"/>
      <c r="Z624" s="196"/>
      <c r="AA624" s="196"/>
      <c r="AB624" s="196"/>
      <c r="AC624" s="196"/>
      <c r="AD624" s="196"/>
      <c r="AE624" s="196"/>
      <c r="AF624" s="196"/>
      <c r="AG624" s="196"/>
      <c r="AH624" s="196"/>
      <c r="AI624" s="196"/>
      <c r="AJ624" s="196"/>
      <c r="AK624" s="196"/>
      <c r="AL624" s="196"/>
      <c r="AM624" s="196"/>
      <c r="AN624" s="196"/>
      <c r="AO624" s="196"/>
      <c r="AP624" s="196"/>
      <c r="AQ624" s="196"/>
      <c r="AR624" s="196"/>
      <c r="AS624" s="196"/>
    </row>
    <row r="625" spans="1:45" ht="15.75" customHeight="1">
      <c r="A625" s="196"/>
      <c r="B625" s="196"/>
      <c r="C625" s="88"/>
      <c r="D625" s="88"/>
      <c r="E625" s="88"/>
      <c r="F625" s="196"/>
      <c r="G625" s="196"/>
      <c r="H625" s="196"/>
      <c r="I625" s="196"/>
      <c r="J625" s="196"/>
      <c r="K625" s="196"/>
      <c r="L625" s="196"/>
      <c r="M625" s="196"/>
      <c r="N625" s="196"/>
      <c r="O625" s="196"/>
      <c r="P625" s="196"/>
      <c r="Q625" s="196"/>
      <c r="R625" s="196"/>
      <c r="S625" s="196"/>
      <c r="T625" s="196"/>
      <c r="U625" s="196"/>
      <c r="V625" s="196"/>
      <c r="W625" s="196"/>
      <c r="X625" s="196"/>
      <c r="Y625" s="196"/>
      <c r="Z625" s="196"/>
      <c r="AA625" s="196"/>
      <c r="AB625" s="196"/>
      <c r="AC625" s="196"/>
      <c r="AD625" s="196"/>
      <c r="AE625" s="196"/>
      <c r="AF625" s="196"/>
      <c r="AG625" s="196"/>
      <c r="AH625" s="196"/>
      <c r="AI625" s="196"/>
      <c r="AJ625" s="196"/>
      <c r="AK625" s="196"/>
      <c r="AL625" s="196"/>
      <c r="AM625" s="196"/>
      <c r="AN625" s="196"/>
      <c r="AO625" s="196"/>
      <c r="AP625" s="196"/>
      <c r="AQ625" s="196"/>
      <c r="AR625" s="196"/>
      <c r="AS625" s="196"/>
    </row>
    <row r="626" spans="1:45" ht="15.75" customHeight="1">
      <c r="A626" s="196"/>
      <c r="B626" s="196"/>
      <c r="C626" s="88"/>
      <c r="D626" s="88"/>
      <c r="E626" s="88"/>
      <c r="F626" s="196"/>
      <c r="G626" s="196"/>
      <c r="H626" s="196"/>
      <c r="I626" s="196"/>
      <c r="J626" s="196"/>
      <c r="K626" s="196"/>
      <c r="L626" s="196"/>
      <c r="M626" s="196"/>
      <c r="N626" s="196"/>
      <c r="O626" s="196"/>
      <c r="P626" s="196"/>
      <c r="Q626" s="196"/>
      <c r="R626" s="196"/>
      <c r="S626" s="196"/>
      <c r="T626" s="196"/>
      <c r="U626" s="196"/>
      <c r="V626" s="196"/>
      <c r="W626" s="196"/>
      <c r="X626" s="196"/>
      <c r="Y626" s="196"/>
      <c r="Z626" s="196"/>
      <c r="AA626" s="196"/>
      <c r="AB626" s="196"/>
      <c r="AC626" s="196"/>
      <c r="AD626" s="196"/>
      <c r="AE626" s="196"/>
      <c r="AF626" s="196"/>
      <c r="AG626" s="196"/>
      <c r="AH626" s="196"/>
      <c r="AI626" s="196"/>
      <c r="AJ626" s="196"/>
      <c r="AK626" s="196"/>
      <c r="AL626" s="196"/>
      <c r="AM626" s="196"/>
      <c r="AN626" s="196"/>
      <c r="AO626" s="196"/>
      <c r="AP626" s="196"/>
      <c r="AQ626" s="196"/>
      <c r="AR626" s="196"/>
      <c r="AS626" s="196"/>
    </row>
    <row r="627" spans="1:45" ht="15.75" customHeight="1">
      <c r="A627" s="196"/>
      <c r="B627" s="196"/>
      <c r="C627" s="88"/>
      <c r="D627" s="88"/>
      <c r="E627" s="88"/>
      <c r="F627" s="196"/>
      <c r="G627" s="196"/>
      <c r="H627" s="196"/>
      <c r="I627" s="196"/>
      <c r="J627" s="196"/>
      <c r="K627" s="196"/>
      <c r="L627" s="196"/>
      <c r="M627" s="196"/>
      <c r="N627" s="196"/>
      <c r="O627" s="196"/>
      <c r="P627" s="196"/>
      <c r="Q627" s="196"/>
      <c r="R627" s="196"/>
      <c r="S627" s="196"/>
      <c r="T627" s="196"/>
      <c r="U627" s="196"/>
      <c r="V627" s="196"/>
      <c r="W627" s="196"/>
      <c r="X627" s="196"/>
      <c r="Y627" s="196"/>
      <c r="Z627" s="196"/>
      <c r="AA627" s="196"/>
      <c r="AB627" s="196"/>
      <c r="AC627" s="196"/>
      <c r="AD627" s="196"/>
      <c r="AE627" s="196"/>
      <c r="AF627" s="196"/>
      <c r="AG627" s="196"/>
      <c r="AH627" s="196"/>
      <c r="AI627" s="196"/>
      <c r="AJ627" s="196"/>
      <c r="AK627" s="196"/>
      <c r="AL627" s="196"/>
      <c r="AM627" s="196"/>
      <c r="AN627" s="196"/>
      <c r="AO627" s="196"/>
      <c r="AP627" s="196"/>
      <c r="AQ627" s="196"/>
      <c r="AR627" s="196"/>
      <c r="AS627" s="196"/>
    </row>
    <row r="628" spans="1:45" ht="15.75" customHeight="1">
      <c r="A628" s="196"/>
      <c r="B628" s="196"/>
      <c r="C628" s="88"/>
      <c r="D628" s="88"/>
      <c r="E628" s="88"/>
      <c r="F628" s="196"/>
      <c r="G628" s="196"/>
      <c r="H628" s="196"/>
      <c r="I628" s="196"/>
      <c r="J628" s="196"/>
      <c r="K628" s="196"/>
      <c r="L628" s="196"/>
      <c r="M628" s="196"/>
      <c r="N628" s="196"/>
      <c r="O628" s="196"/>
      <c r="P628" s="196"/>
      <c r="Q628" s="196"/>
      <c r="R628" s="196"/>
      <c r="S628" s="196"/>
      <c r="T628" s="196"/>
      <c r="U628" s="196"/>
      <c r="V628" s="196"/>
      <c r="W628" s="196"/>
      <c r="X628" s="196"/>
      <c r="Y628" s="196"/>
      <c r="Z628" s="196"/>
      <c r="AA628" s="196"/>
      <c r="AB628" s="196"/>
      <c r="AC628" s="196"/>
      <c r="AD628" s="196"/>
      <c r="AE628" s="196"/>
      <c r="AF628" s="196"/>
      <c r="AG628" s="196"/>
      <c r="AH628" s="196"/>
      <c r="AI628" s="196"/>
      <c r="AJ628" s="196"/>
      <c r="AK628" s="196"/>
      <c r="AL628" s="196"/>
      <c r="AM628" s="196"/>
      <c r="AN628" s="196"/>
      <c r="AO628" s="196"/>
      <c r="AP628" s="196"/>
      <c r="AQ628" s="196"/>
      <c r="AR628" s="196"/>
      <c r="AS628" s="196"/>
    </row>
    <row r="629" spans="1:45" ht="15.75" customHeight="1">
      <c r="A629" s="196"/>
      <c r="B629" s="196"/>
      <c r="C629" s="88"/>
      <c r="D629" s="88"/>
      <c r="E629" s="88"/>
      <c r="F629" s="196"/>
      <c r="G629" s="196"/>
      <c r="H629" s="196"/>
      <c r="I629" s="196"/>
      <c r="J629" s="196"/>
      <c r="K629" s="196"/>
      <c r="L629" s="196"/>
      <c r="M629" s="196"/>
      <c r="N629" s="196"/>
      <c r="O629" s="196"/>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row>
    <row r="630" spans="1:45" ht="15.75" customHeight="1">
      <c r="A630" s="196"/>
      <c r="B630" s="196"/>
      <c r="C630" s="88"/>
      <c r="D630" s="88"/>
      <c r="E630" s="88"/>
      <c r="F630" s="196"/>
      <c r="G630" s="196"/>
      <c r="H630" s="196"/>
      <c r="I630" s="196"/>
      <c r="J630" s="196"/>
      <c r="K630" s="196"/>
      <c r="L630" s="196"/>
      <c r="M630" s="196"/>
      <c r="N630" s="196"/>
      <c r="O630" s="196"/>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row>
    <row r="631" spans="1:45" ht="15.75" customHeight="1">
      <c r="A631" s="196"/>
      <c r="B631" s="196"/>
      <c r="C631" s="88"/>
      <c r="D631" s="88"/>
      <c r="E631" s="88"/>
      <c r="F631" s="196"/>
      <c r="G631" s="196"/>
      <c r="H631" s="196"/>
      <c r="I631" s="196"/>
      <c r="J631" s="196"/>
      <c r="K631" s="196"/>
      <c r="L631" s="196"/>
      <c r="M631" s="196"/>
      <c r="N631" s="196"/>
      <c r="O631" s="196"/>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row>
    <row r="632" spans="1:45" ht="15.75" customHeight="1">
      <c r="A632" s="196"/>
      <c r="B632" s="196"/>
      <c r="C632" s="88"/>
      <c r="D632" s="88"/>
      <c r="E632" s="88"/>
      <c r="F632" s="196"/>
      <c r="G632" s="196"/>
      <c r="H632" s="196"/>
      <c r="I632" s="196"/>
      <c r="J632" s="196"/>
      <c r="K632" s="196"/>
      <c r="L632" s="196"/>
      <c r="M632" s="196"/>
      <c r="N632" s="196"/>
      <c r="O632" s="196"/>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row>
    <row r="633" spans="1:45" ht="15.75" customHeight="1">
      <c r="A633" s="196"/>
      <c r="B633" s="196"/>
      <c r="C633" s="88"/>
      <c r="D633" s="88"/>
      <c r="E633" s="88"/>
      <c r="F633" s="196"/>
      <c r="G633" s="196"/>
      <c r="H633" s="196"/>
      <c r="I633" s="196"/>
      <c r="J633" s="196"/>
      <c r="K633" s="196"/>
      <c r="L633" s="196"/>
      <c r="M633" s="196"/>
      <c r="N633" s="196"/>
      <c r="O633" s="196"/>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row>
    <row r="634" spans="1:45" ht="15.75" customHeight="1">
      <c r="A634" s="196"/>
      <c r="B634" s="196"/>
      <c r="C634" s="88"/>
      <c r="D634" s="88"/>
      <c r="E634" s="88"/>
      <c r="F634" s="196"/>
      <c r="G634" s="196"/>
      <c r="H634" s="196"/>
      <c r="I634" s="196"/>
      <c r="J634" s="196"/>
      <c r="K634" s="196"/>
      <c r="L634" s="196"/>
      <c r="M634" s="196"/>
      <c r="N634" s="196"/>
      <c r="O634" s="196"/>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row>
    <row r="635" spans="1:45" ht="15.75" customHeight="1">
      <c r="A635" s="196"/>
      <c r="B635" s="196"/>
      <c r="C635" s="88"/>
      <c r="D635" s="88"/>
      <c r="E635" s="88"/>
      <c r="F635" s="196"/>
      <c r="G635" s="196"/>
      <c r="H635" s="196"/>
      <c r="I635" s="196"/>
      <c r="J635" s="196"/>
      <c r="K635" s="196"/>
      <c r="L635" s="196"/>
      <c r="M635" s="196"/>
      <c r="N635" s="196"/>
      <c r="O635" s="196"/>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row>
    <row r="636" spans="1:45" ht="15.75" customHeight="1">
      <c r="A636" s="196"/>
      <c r="B636" s="196"/>
      <c r="C636" s="88"/>
      <c r="D636" s="88"/>
      <c r="E636" s="88"/>
      <c r="F636" s="196"/>
      <c r="G636" s="196"/>
      <c r="H636" s="196"/>
      <c r="I636" s="196"/>
      <c r="J636" s="196"/>
      <c r="K636" s="196"/>
      <c r="L636" s="196"/>
      <c r="M636" s="196"/>
      <c r="N636" s="196"/>
      <c r="O636" s="196"/>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row>
    <row r="637" spans="1:45" ht="15.75" customHeight="1">
      <c r="A637" s="196"/>
      <c r="B637" s="196"/>
      <c r="C637" s="88"/>
      <c r="D637" s="88"/>
      <c r="E637" s="88"/>
      <c r="F637" s="196"/>
      <c r="G637" s="196"/>
      <c r="H637" s="196"/>
      <c r="I637" s="196"/>
      <c r="J637" s="196"/>
      <c r="K637" s="196"/>
      <c r="L637" s="196"/>
      <c r="M637" s="196"/>
      <c r="N637" s="196"/>
      <c r="O637" s="196"/>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row>
    <row r="638" spans="1:45" ht="15.75" customHeight="1">
      <c r="A638" s="196"/>
      <c r="B638" s="196"/>
      <c r="C638" s="88"/>
      <c r="D638" s="88"/>
      <c r="E638" s="88"/>
      <c r="F638" s="196"/>
      <c r="G638" s="196"/>
      <c r="H638" s="196"/>
      <c r="I638" s="196"/>
      <c r="J638" s="196"/>
      <c r="K638" s="196"/>
      <c r="L638" s="196"/>
      <c r="M638" s="196"/>
      <c r="N638" s="196"/>
      <c r="O638" s="196"/>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row>
    <row r="639" spans="1:45" ht="15.75" customHeight="1">
      <c r="A639" s="196"/>
      <c r="B639" s="196"/>
      <c r="C639" s="88"/>
      <c r="D639" s="88"/>
      <c r="E639" s="88"/>
      <c r="F639" s="196"/>
      <c r="G639" s="196"/>
      <c r="H639" s="196"/>
      <c r="I639" s="196"/>
      <c r="J639" s="196"/>
      <c r="K639" s="196"/>
      <c r="L639" s="196"/>
      <c r="M639" s="196"/>
      <c r="N639" s="196"/>
      <c r="O639" s="196"/>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row>
    <row r="640" spans="1:45" ht="15.75" customHeight="1">
      <c r="A640" s="196"/>
      <c r="B640" s="196"/>
      <c r="C640" s="88"/>
      <c r="D640" s="88"/>
      <c r="E640" s="88"/>
      <c r="F640" s="196"/>
      <c r="G640" s="196"/>
      <c r="H640" s="196"/>
      <c r="I640" s="196"/>
      <c r="J640" s="196"/>
      <c r="K640" s="196"/>
      <c r="L640" s="196"/>
      <c r="M640" s="196"/>
      <c r="N640" s="196"/>
      <c r="O640" s="196"/>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row>
    <row r="641" spans="1:45" ht="15.75" customHeight="1">
      <c r="A641" s="196"/>
      <c r="B641" s="196"/>
      <c r="C641" s="88"/>
      <c r="D641" s="88"/>
      <c r="E641" s="88"/>
      <c r="F641" s="196"/>
      <c r="G641" s="196"/>
      <c r="H641" s="196"/>
      <c r="I641" s="196"/>
      <c r="J641" s="196"/>
      <c r="K641" s="196"/>
      <c r="L641" s="196"/>
      <c r="M641" s="196"/>
      <c r="N641" s="196"/>
      <c r="O641" s="196"/>
      <c r="P641" s="196"/>
      <c r="Q641" s="196"/>
      <c r="R641" s="196"/>
      <c r="S641" s="196"/>
      <c r="T641" s="196"/>
      <c r="U641" s="196"/>
      <c r="V641" s="196"/>
      <c r="W641" s="196"/>
      <c r="X641" s="196"/>
      <c r="Y641" s="196"/>
      <c r="Z641" s="196"/>
      <c r="AA641" s="196"/>
      <c r="AB641" s="196"/>
      <c r="AC641" s="196"/>
      <c r="AD641" s="196"/>
      <c r="AE641" s="196"/>
      <c r="AF641" s="196"/>
      <c r="AG641" s="196"/>
      <c r="AH641" s="196"/>
      <c r="AI641" s="196"/>
      <c r="AJ641" s="196"/>
      <c r="AK641" s="196"/>
      <c r="AL641" s="196"/>
      <c r="AM641" s="196"/>
      <c r="AN641" s="196"/>
      <c r="AO641" s="196"/>
      <c r="AP641" s="196"/>
      <c r="AQ641" s="196"/>
      <c r="AR641" s="196"/>
      <c r="AS641" s="196"/>
    </row>
    <row r="642" spans="1:45" ht="15.75" customHeight="1">
      <c r="A642" s="196"/>
      <c r="B642" s="196"/>
      <c r="C642" s="88"/>
      <c r="D642" s="88"/>
      <c r="E642" s="88"/>
      <c r="F642" s="196"/>
      <c r="G642" s="196"/>
      <c r="H642" s="196"/>
      <c r="I642" s="196"/>
      <c r="J642" s="196"/>
      <c r="K642" s="196"/>
      <c r="L642" s="196"/>
      <c r="M642" s="196"/>
      <c r="N642" s="196"/>
      <c r="O642" s="196"/>
      <c r="P642" s="196"/>
      <c r="Q642" s="196"/>
      <c r="R642" s="196"/>
      <c r="S642" s="196"/>
      <c r="T642" s="196"/>
      <c r="U642" s="196"/>
      <c r="V642" s="196"/>
      <c r="W642" s="196"/>
      <c r="X642" s="196"/>
      <c r="Y642" s="196"/>
      <c r="Z642" s="196"/>
      <c r="AA642" s="196"/>
      <c r="AB642" s="196"/>
      <c r="AC642" s="196"/>
      <c r="AD642" s="196"/>
      <c r="AE642" s="196"/>
      <c r="AF642" s="196"/>
      <c r="AG642" s="196"/>
      <c r="AH642" s="196"/>
      <c r="AI642" s="196"/>
      <c r="AJ642" s="196"/>
      <c r="AK642" s="196"/>
      <c r="AL642" s="196"/>
      <c r="AM642" s="196"/>
      <c r="AN642" s="196"/>
      <c r="AO642" s="196"/>
      <c r="AP642" s="196"/>
      <c r="AQ642" s="196"/>
      <c r="AR642" s="196"/>
      <c r="AS642" s="196"/>
    </row>
    <row r="643" spans="1:45" ht="15.75" customHeight="1">
      <c r="A643" s="196"/>
      <c r="B643" s="196"/>
      <c r="C643" s="88"/>
      <c r="D643" s="88"/>
      <c r="E643" s="88"/>
      <c r="F643" s="196"/>
      <c r="G643" s="196"/>
      <c r="H643" s="196"/>
      <c r="I643" s="196"/>
      <c r="J643" s="196"/>
      <c r="K643" s="196"/>
      <c r="L643" s="196"/>
      <c r="M643" s="196"/>
      <c r="N643" s="196"/>
      <c r="O643" s="196"/>
      <c r="P643" s="196"/>
      <c r="Q643" s="196"/>
      <c r="R643" s="196"/>
      <c r="S643" s="196"/>
      <c r="T643" s="196"/>
      <c r="U643" s="196"/>
      <c r="V643" s="196"/>
      <c r="W643" s="196"/>
      <c r="X643" s="196"/>
      <c r="Y643" s="196"/>
      <c r="Z643" s="196"/>
      <c r="AA643" s="196"/>
      <c r="AB643" s="196"/>
      <c r="AC643" s="196"/>
      <c r="AD643" s="196"/>
      <c r="AE643" s="196"/>
      <c r="AF643" s="196"/>
      <c r="AG643" s="196"/>
      <c r="AH643" s="196"/>
      <c r="AI643" s="196"/>
      <c r="AJ643" s="196"/>
      <c r="AK643" s="196"/>
      <c r="AL643" s="196"/>
      <c r="AM643" s="196"/>
      <c r="AN643" s="196"/>
      <c r="AO643" s="196"/>
      <c r="AP643" s="196"/>
      <c r="AQ643" s="196"/>
      <c r="AR643" s="196"/>
      <c r="AS643" s="196"/>
    </row>
    <row r="644" spans="1:45" ht="15.75" customHeight="1">
      <c r="A644" s="196"/>
      <c r="B644" s="196"/>
      <c r="C644" s="88"/>
      <c r="D644" s="88"/>
      <c r="E644" s="88"/>
      <c r="F644" s="196"/>
      <c r="G644" s="196"/>
      <c r="H644" s="196"/>
      <c r="I644" s="196"/>
      <c r="J644" s="196"/>
      <c r="K644" s="196"/>
      <c r="L644" s="196"/>
      <c r="M644" s="196"/>
      <c r="N644" s="196"/>
      <c r="O644" s="196"/>
      <c r="P644" s="196"/>
      <c r="Q644" s="196"/>
      <c r="R644" s="196"/>
      <c r="S644" s="196"/>
      <c r="T644" s="196"/>
      <c r="U644" s="196"/>
      <c r="V644" s="196"/>
      <c r="W644" s="196"/>
      <c r="X644" s="196"/>
      <c r="Y644" s="196"/>
      <c r="Z644" s="196"/>
      <c r="AA644" s="196"/>
      <c r="AB644" s="196"/>
      <c r="AC644" s="196"/>
      <c r="AD644" s="196"/>
      <c r="AE644" s="196"/>
      <c r="AF644" s="196"/>
      <c r="AG644" s="196"/>
      <c r="AH644" s="196"/>
      <c r="AI644" s="196"/>
      <c r="AJ644" s="196"/>
      <c r="AK644" s="196"/>
      <c r="AL644" s="196"/>
      <c r="AM644" s="196"/>
      <c r="AN644" s="196"/>
      <c r="AO644" s="196"/>
      <c r="AP644" s="196"/>
      <c r="AQ644" s="196"/>
      <c r="AR644" s="196"/>
      <c r="AS644" s="196"/>
    </row>
    <row r="645" spans="1:45" ht="15.75" customHeight="1">
      <c r="A645" s="196"/>
      <c r="B645" s="196"/>
      <c r="C645" s="88"/>
      <c r="D645" s="88"/>
      <c r="E645" s="88"/>
      <c r="F645" s="196"/>
      <c r="G645" s="196"/>
      <c r="H645" s="196"/>
      <c r="I645" s="196"/>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c r="AN645" s="196"/>
      <c r="AO645" s="196"/>
      <c r="AP645" s="196"/>
      <c r="AQ645" s="196"/>
      <c r="AR645" s="196"/>
      <c r="AS645" s="196"/>
    </row>
    <row r="646" spans="1:45" ht="15.75" customHeight="1">
      <c r="A646" s="196"/>
      <c r="B646" s="196"/>
      <c r="C646" s="88"/>
      <c r="D646" s="88"/>
      <c r="E646" s="88"/>
      <c r="F646" s="196"/>
      <c r="G646" s="196"/>
      <c r="H646" s="196"/>
      <c r="I646" s="196"/>
      <c r="J646" s="196"/>
      <c r="K646" s="196"/>
      <c r="L646" s="196"/>
      <c r="M646" s="196"/>
      <c r="N646" s="196"/>
      <c r="O646" s="196"/>
      <c r="P646" s="196"/>
      <c r="Q646" s="196"/>
      <c r="R646" s="196"/>
      <c r="S646" s="196"/>
      <c r="T646" s="196"/>
      <c r="U646" s="196"/>
      <c r="V646" s="196"/>
      <c r="W646" s="196"/>
      <c r="X646" s="196"/>
      <c r="Y646" s="196"/>
      <c r="Z646" s="196"/>
      <c r="AA646" s="196"/>
      <c r="AB646" s="196"/>
      <c r="AC646" s="196"/>
      <c r="AD646" s="196"/>
      <c r="AE646" s="196"/>
      <c r="AF646" s="196"/>
      <c r="AG646" s="196"/>
      <c r="AH646" s="196"/>
      <c r="AI646" s="196"/>
      <c r="AJ646" s="196"/>
      <c r="AK646" s="196"/>
      <c r="AL646" s="196"/>
      <c r="AM646" s="196"/>
      <c r="AN646" s="196"/>
      <c r="AO646" s="196"/>
      <c r="AP646" s="196"/>
      <c r="AQ646" s="196"/>
      <c r="AR646" s="196"/>
      <c r="AS646" s="196"/>
    </row>
    <row r="647" spans="1:45" ht="15.75" customHeight="1">
      <c r="A647" s="196"/>
      <c r="B647" s="196"/>
      <c r="C647" s="88"/>
      <c r="D647" s="88"/>
      <c r="E647" s="88"/>
      <c r="F647" s="196"/>
      <c r="G647" s="196"/>
      <c r="H647" s="196"/>
      <c r="I647" s="196"/>
      <c r="J647" s="196"/>
      <c r="K647" s="196"/>
      <c r="L647" s="196"/>
      <c r="M647" s="196"/>
      <c r="N647" s="196"/>
      <c r="O647" s="196"/>
      <c r="P647" s="196"/>
      <c r="Q647" s="196"/>
      <c r="R647" s="196"/>
      <c r="S647" s="196"/>
      <c r="T647" s="196"/>
      <c r="U647" s="196"/>
      <c r="V647" s="196"/>
      <c r="W647" s="196"/>
      <c r="X647" s="196"/>
      <c r="Y647" s="196"/>
      <c r="Z647" s="196"/>
      <c r="AA647" s="196"/>
      <c r="AB647" s="196"/>
      <c r="AC647" s="196"/>
      <c r="AD647" s="196"/>
      <c r="AE647" s="196"/>
      <c r="AF647" s="196"/>
      <c r="AG647" s="196"/>
      <c r="AH647" s="196"/>
      <c r="AI647" s="196"/>
      <c r="AJ647" s="196"/>
      <c r="AK647" s="196"/>
      <c r="AL647" s="196"/>
      <c r="AM647" s="196"/>
      <c r="AN647" s="196"/>
      <c r="AO647" s="196"/>
      <c r="AP647" s="196"/>
      <c r="AQ647" s="196"/>
      <c r="AR647" s="196"/>
      <c r="AS647" s="196"/>
    </row>
    <row r="648" spans="1:45" ht="15.75" customHeight="1">
      <c r="A648" s="196"/>
      <c r="B648" s="196"/>
      <c r="C648" s="88"/>
      <c r="D648" s="88"/>
      <c r="E648" s="88"/>
      <c r="F648" s="196"/>
      <c r="G648" s="196"/>
      <c r="H648" s="196"/>
      <c r="I648" s="196"/>
      <c r="J648" s="196"/>
      <c r="K648" s="196"/>
      <c r="L648" s="196"/>
      <c r="M648" s="196"/>
      <c r="N648" s="196"/>
      <c r="O648" s="196"/>
      <c r="P648" s="196"/>
      <c r="Q648" s="196"/>
      <c r="R648" s="196"/>
      <c r="S648" s="196"/>
      <c r="T648" s="196"/>
      <c r="U648" s="196"/>
      <c r="V648" s="196"/>
      <c r="W648" s="196"/>
      <c r="X648" s="196"/>
      <c r="Y648" s="196"/>
      <c r="Z648" s="196"/>
      <c r="AA648" s="196"/>
      <c r="AB648" s="196"/>
      <c r="AC648" s="196"/>
      <c r="AD648" s="196"/>
      <c r="AE648" s="196"/>
      <c r="AF648" s="196"/>
      <c r="AG648" s="196"/>
      <c r="AH648" s="196"/>
      <c r="AI648" s="196"/>
      <c r="AJ648" s="196"/>
      <c r="AK648" s="196"/>
      <c r="AL648" s="196"/>
      <c r="AM648" s="196"/>
      <c r="AN648" s="196"/>
      <c r="AO648" s="196"/>
      <c r="AP648" s="196"/>
      <c r="AQ648" s="196"/>
      <c r="AR648" s="196"/>
      <c r="AS648" s="196"/>
    </row>
    <row r="649" spans="1:45" ht="15.75" customHeight="1">
      <c r="A649" s="196"/>
      <c r="B649" s="196"/>
      <c r="C649" s="88"/>
      <c r="D649" s="88"/>
      <c r="E649" s="88"/>
      <c r="F649" s="196"/>
      <c r="G649" s="196"/>
      <c r="H649" s="196"/>
      <c r="I649" s="196"/>
      <c r="J649" s="196"/>
      <c r="K649" s="196"/>
      <c r="L649" s="196"/>
      <c r="M649" s="196"/>
      <c r="N649" s="196"/>
      <c r="O649" s="196"/>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row>
    <row r="650" spans="1:45" ht="15.75" customHeight="1">
      <c r="A650" s="196"/>
      <c r="B650" s="196"/>
      <c r="C650" s="88"/>
      <c r="D650" s="88"/>
      <c r="E650" s="88"/>
      <c r="F650" s="196"/>
      <c r="G650" s="196"/>
      <c r="H650" s="196"/>
      <c r="I650" s="196"/>
      <c r="J650" s="196"/>
      <c r="K650" s="196"/>
      <c r="L650" s="196"/>
      <c r="M650" s="196"/>
      <c r="N650" s="196"/>
      <c r="O650" s="196"/>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row>
    <row r="651" spans="1:45" ht="15.75" customHeight="1">
      <c r="A651" s="196"/>
      <c r="B651" s="196"/>
      <c r="C651" s="88"/>
      <c r="D651" s="88"/>
      <c r="E651" s="88"/>
      <c r="F651" s="196"/>
      <c r="G651" s="196"/>
      <c r="H651" s="196"/>
      <c r="I651" s="196"/>
      <c r="J651" s="196"/>
      <c r="K651" s="196"/>
      <c r="L651" s="196"/>
      <c r="M651" s="196"/>
      <c r="N651" s="196"/>
      <c r="O651" s="196"/>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row>
    <row r="652" spans="1:45" ht="15.75" customHeight="1">
      <c r="A652" s="196"/>
      <c r="B652" s="196"/>
      <c r="C652" s="88"/>
      <c r="D652" s="88"/>
      <c r="E652" s="88"/>
      <c r="F652" s="196"/>
      <c r="G652" s="196"/>
      <c r="H652" s="196"/>
      <c r="I652" s="196"/>
      <c r="J652" s="196"/>
      <c r="K652" s="196"/>
      <c r="L652" s="196"/>
      <c r="M652" s="196"/>
      <c r="N652" s="196"/>
      <c r="O652" s="196"/>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row>
    <row r="653" spans="1:45" ht="15.75" customHeight="1">
      <c r="A653" s="196"/>
      <c r="B653" s="196"/>
      <c r="C653" s="88"/>
      <c r="D653" s="88"/>
      <c r="E653" s="88"/>
      <c r="F653" s="196"/>
      <c r="G653" s="196"/>
      <c r="H653" s="196"/>
      <c r="I653" s="196"/>
      <c r="J653" s="196"/>
      <c r="K653" s="196"/>
      <c r="L653" s="196"/>
      <c r="M653" s="196"/>
      <c r="N653" s="196"/>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row>
    <row r="654" spans="1:45" ht="15.75" customHeight="1">
      <c r="A654" s="196"/>
      <c r="B654" s="196"/>
      <c r="C654" s="88"/>
      <c r="D654" s="88"/>
      <c r="E654" s="88"/>
      <c r="F654" s="196"/>
      <c r="G654" s="196"/>
      <c r="H654" s="196"/>
      <c r="I654" s="196"/>
      <c r="J654" s="196"/>
      <c r="K654" s="196"/>
      <c r="L654" s="196"/>
      <c r="M654" s="196"/>
      <c r="N654" s="196"/>
      <c r="O654" s="196"/>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row>
    <row r="655" spans="1:45" ht="15.75" customHeight="1">
      <c r="A655" s="196"/>
      <c r="B655" s="196"/>
      <c r="C655" s="88"/>
      <c r="D655" s="88"/>
      <c r="E655" s="88"/>
      <c r="F655" s="196"/>
      <c r="G655" s="196"/>
      <c r="H655" s="196"/>
      <c r="I655" s="196"/>
      <c r="J655" s="196"/>
      <c r="K655" s="196"/>
      <c r="L655" s="196"/>
      <c r="M655" s="196"/>
      <c r="N655" s="196"/>
      <c r="O655" s="196"/>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row>
    <row r="656" spans="1:45" ht="15.75" customHeight="1">
      <c r="A656" s="196"/>
      <c r="B656" s="196"/>
      <c r="C656" s="88"/>
      <c r="D656" s="88"/>
      <c r="E656" s="88"/>
      <c r="F656" s="196"/>
      <c r="G656" s="196"/>
      <c r="H656" s="196"/>
      <c r="I656" s="196"/>
      <c r="J656" s="196"/>
      <c r="K656" s="196"/>
      <c r="L656" s="196"/>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row>
    <row r="657" spans="1:45" ht="15.75" customHeight="1">
      <c r="A657" s="196"/>
      <c r="B657" s="196"/>
      <c r="C657" s="88"/>
      <c r="D657" s="88"/>
      <c r="E657" s="88"/>
      <c r="F657" s="196"/>
      <c r="G657" s="196"/>
      <c r="H657" s="196"/>
      <c r="I657" s="196"/>
      <c r="J657" s="196"/>
      <c r="K657" s="196"/>
      <c r="L657" s="196"/>
      <c r="M657" s="196"/>
      <c r="N657" s="196"/>
      <c r="O657" s="196"/>
      <c r="P657" s="196"/>
      <c r="Q657" s="196"/>
      <c r="R657" s="196"/>
      <c r="S657" s="196"/>
      <c r="T657" s="196"/>
      <c r="U657" s="196"/>
      <c r="V657" s="196"/>
      <c r="W657" s="196"/>
      <c r="X657" s="196"/>
      <c r="Y657" s="196"/>
      <c r="Z657" s="196"/>
      <c r="AA657" s="196"/>
      <c r="AB657" s="196"/>
      <c r="AC657" s="196"/>
      <c r="AD657" s="196"/>
      <c r="AE657" s="196"/>
      <c r="AF657" s="196"/>
      <c r="AG657" s="196"/>
      <c r="AH657" s="196"/>
      <c r="AI657" s="196"/>
      <c r="AJ657" s="196"/>
      <c r="AK657" s="196"/>
      <c r="AL657" s="196"/>
      <c r="AM657" s="196"/>
      <c r="AN657" s="196"/>
      <c r="AO657" s="196"/>
      <c r="AP657" s="196"/>
      <c r="AQ657" s="196"/>
      <c r="AR657" s="196"/>
      <c r="AS657" s="196"/>
    </row>
    <row r="658" spans="1:45" ht="15.75" customHeight="1">
      <c r="A658" s="196"/>
      <c r="B658" s="196"/>
      <c r="C658" s="88"/>
      <c r="D658" s="88"/>
      <c r="E658" s="88"/>
      <c r="F658" s="196"/>
      <c r="G658" s="196"/>
      <c r="H658" s="196"/>
      <c r="I658" s="196"/>
      <c r="J658" s="196"/>
      <c r="K658" s="196"/>
      <c r="L658" s="196"/>
      <c r="M658" s="196"/>
      <c r="N658" s="196"/>
      <c r="O658" s="196"/>
      <c r="P658" s="196"/>
      <c r="Q658" s="196"/>
      <c r="R658" s="196"/>
      <c r="S658" s="196"/>
      <c r="T658" s="196"/>
      <c r="U658" s="196"/>
      <c r="V658" s="196"/>
      <c r="W658" s="196"/>
      <c r="X658" s="196"/>
      <c r="Y658" s="196"/>
      <c r="Z658" s="196"/>
      <c r="AA658" s="196"/>
      <c r="AB658" s="196"/>
      <c r="AC658" s="196"/>
      <c r="AD658" s="196"/>
      <c r="AE658" s="196"/>
      <c r="AF658" s="196"/>
      <c r="AG658" s="196"/>
      <c r="AH658" s="196"/>
      <c r="AI658" s="196"/>
      <c r="AJ658" s="196"/>
      <c r="AK658" s="196"/>
      <c r="AL658" s="196"/>
      <c r="AM658" s="196"/>
      <c r="AN658" s="196"/>
      <c r="AO658" s="196"/>
      <c r="AP658" s="196"/>
      <c r="AQ658" s="196"/>
      <c r="AR658" s="196"/>
      <c r="AS658" s="196"/>
    </row>
    <row r="659" spans="1:45" ht="15.75" customHeight="1">
      <c r="A659" s="196"/>
      <c r="B659" s="196"/>
      <c r="C659" s="88"/>
      <c r="D659" s="88"/>
      <c r="E659" s="88"/>
      <c r="F659" s="196"/>
      <c r="G659" s="196"/>
      <c r="H659" s="196"/>
      <c r="I659" s="196"/>
      <c r="J659" s="196"/>
      <c r="K659" s="196"/>
      <c r="L659" s="196"/>
      <c r="M659" s="196"/>
      <c r="N659" s="196"/>
      <c r="O659" s="196"/>
      <c r="P659" s="196"/>
      <c r="Q659" s="196"/>
      <c r="R659" s="196"/>
      <c r="S659" s="196"/>
      <c r="T659" s="196"/>
      <c r="U659" s="196"/>
      <c r="V659" s="196"/>
      <c r="W659" s="196"/>
      <c r="X659" s="196"/>
      <c r="Y659" s="196"/>
      <c r="Z659" s="196"/>
      <c r="AA659" s="196"/>
      <c r="AB659" s="196"/>
      <c r="AC659" s="196"/>
      <c r="AD659" s="196"/>
      <c r="AE659" s="196"/>
      <c r="AF659" s="196"/>
      <c r="AG659" s="196"/>
      <c r="AH659" s="196"/>
      <c r="AI659" s="196"/>
      <c r="AJ659" s="196"/>
      <c r="AK659" s="196"/>
      <c r="AL659" s="196"/>
      <c r="AM659" s="196"/>
      <c r="AN659" s="196"/>
      <c r="AO659" s="196"/>
      <c r="AP659" s="196"/>
      <c r="AQ659" s="196"/>
      <c r="AR659" s="196"/>
      <c r="AS659" s="196"/>
    </row>
    <row r="660" spans="1:45" ht="15.75" customHeight="1">
      <c r="A660" s="196"/>
      <c r="B660" s="196"/>
      <c r="C660" s="88"/>
      <c r="D660" s="88"/>
      <c r="E660" s="88"/>
      <c r="F660" s="196"/>
      <c r="G660" s="196"/>
      <c r="H660" s="196"/>
      <c r="I660" s="196"/>
      <c r="J660" s="196"/>
      <c r="K660" s="196"/>
      <c r="L660" s="196"/>
      <c r="M660" s="196"/>
      <c r="N660" s="196"/>
      <c r="O660" s="196"/>
      <c r="P660" s="196"/>
      <c r="Q660" s="196"/>
      <c r="R660" s="196"/>
      <c r="S660" s="196"/>
      <c r="T660" s="196"/>
      <c r="U660" s="196"/>
      <c r="V660" s="196"/>
      <c r="W660" s="196"/>
      <c r="X660" s="196"/>
      <c r="Y660" s="196"/>
      <c r="Z660" s="196"/>
      <c r="AA660" s="196"/>
      <c r="AB660" s="196"/>
      <c r="AC660" s="196"/>
      <c r="AD660" s="196"/>
      <c r="AE660" s="196"/>
      <c r="AF660" s="196"/>
      <c r="AG660" s="196"/>
      <c r="AH660" s="196"/>
      <c r="AI660" s="196"/>
      <c r="AJ660" s="196"/>
      <c r="AK660" s="196"/>
      <c r="AL660" s="196"/>
      <c r="AM660" s="196"/>
      <c r="AN660" s="196"/>
      <c r="AO660" s="196"/>
      <c r="AP660" s="196"/>
      <c r="AQ660" s="196"/>
      <c r="AR660" s="196"/>
      <c r="AS660" s="196"/>
    </row>
    <row r="661" spans="1:45" ht="15.75" customHeight="1">
      <c r="A661" s="196"/>
      <c r="B661" s="196"/>
      <c r="C661" s="88"/>
      <c r="D661" s="88"/>
      <c r="E661" s="88"/>
      <c r="F661" s="196"/>
      <c r="G661" s="196"/>
      <c r="H661" s="196"/>
      <c r="I661" s="196"/>
      <c r="J661" s="196"/>
      <c r="K661" s="196"/>
      <c r="L661" s="196"/>
      <c r="M661" s="196"/>
      <c r="N661" s="196"/>
      <c r="O661" s="196"/>
      <c r="P661" s="196"/>
      <c r="Q661" s="196"/>
      <c r="R661" s="196"/>
      <c r="S661" s="196"/>
      <c r="T661" s="196"/>
      <c r="U661" s="196"/>
      <c r="V661" s="196"/>
      <c r="W661" s="196"/>
      <c r="X661" s="196"/>
      <c r="Y661" s="196"/>
      <c r="Z661" s="196"/>
      <c r="AA661" s="196"/>
      <c r="AB661" s="196"/>
      <c r="AC661" s="196"/>
      <c r="AD661" s="196"/>
      <c r="AE661" s="196"/>
      <c r="AF661" s="196"/>
      <c r="AG661" s="196"/>
      <c r="AH661" s="196"/>
      <c r="AI661" s="196"/>
      <c r="AJ661" s="196"/>
      <c r="AK661" s="196"/>
      <c r="AL661" s="196"/>
      <c r="AM661" s="196"/>
      <c r="AN661" s="196"/>
      <c r="AO661" s="196"/>
      <c r="AP661" s="196"/>
      <c r="AQ661" s="196"/>
      <c r="AR661" s="196"/>
      <c r="AS661" s="196"/>
    </row>
    <row r="662" spans="1:45" ht="15.75" customHeight="1">
      <c r="A662" s="196"/>
      <c r="B662" s="196"/>
      <c r="C662" s="88"/>
      <c r="D662" s="88"/>
      <c r="E662" s="88"/>
      <c r="F662" s="196"/>
      <c r="G662" s="196"/>
      <c r="H662" s="196"/>
      <c r="I662" s="196"/>
      <c r="J662" s="196"/>
      <c r="K662" s="196"/>
      <c r="L662" s="196"/>
      <c r="M662" s="196"/>
      <c r="N662" s="196"/>
      <c r="O662" s="196"/>
      <c r="P662" s="196"/>
      <c r="Q662" s="196"/>
      <c r="R662" s="196"/>
      <c r="S662" s="196"/>
      <c r="T662" s="196"/>
      <c r="U662" s="196"/>
      <c r="V662" s="196"/>
      <c r="W662" s="196"/>
      <c r="X662" s="196"/>
      <c r="Y662" s="196"/>
      <c r="Z662" s="196"/>
      <c r="AA662" s="196"/>
      <c r="AB662" s="196"/>
      <c r="AC662" s="196"/>
      <c r="AD662" s="196"/>
      <c r="AE662" s="196"/>
      <c r="AF662" s="196"/>
      <c r="AG662" s="196"/>
      <c r="AH662" s="196"/>
      <c r="AI662" s="196"/>
      <c r="AJ662" s="196"/>
      <c r="AK662" s="196"/>
      <c r="AL662" s="196"/>
      <c r="AM662" s="196"/>
      <c r="AN662" s="196"/>
      <c r="AO662" s="196"/>
      <c r="AP662" s="196"/>
      <c r="AQ662" s="196"/>
      <c r="AR662" s="196"/>
      <c r="AS662" s="196"/>
    </row>
    <row r="663" spans="1:45" ht="15.75" customHeight="1">
      <c r="A663" s="196"/>
      <c r="B663" s="196"/>
      <c r="C663" s="88"/>
      <c r="D663" s="88"/>
      <c r="E663" s="88"/>
      <c r="F663" s="196"/>
      <c r="G663" s="196"/>
      <c r="H663" s="196"/>
      <c r="I663" s="196"/>
      <c r="J663" s="196"/>
      <c r="K663" s="196"/>
      <c r="L663" s="196"/>
      <c r="M663" s="196"/>
      <c r="N663" s="196"/>
      <c r="O663" s="196"/>
      <c r="P663" s="196"/>
      <c r="Q663" s="196"/>
      <c r="R663" s="196"/>
      <c r="S663" s="196"/>
      <c r="T663" s="196"/>
      <c r="U663" s="196"/>
      <c r="V663" s="196"/>
      <c r="W663" s="196"/>
      <c r="X663" s="196"/>
      <c r="Y663" s="196"/>
      <c r="Z663" s="196"/>
      <c r="AA663" s="196"/>
      <c r="AB663" s="196"/>
      <c r="AC663" s="196"/>
      <c r="AD663" s="196"/>
      <c r="AE663" s="196"/>
      <c r="AF663" s="196"/>
      <c r="AG663" s="196"/>
      <c r="AH663" s="196"/>
      <c r="AI663" s="196"/>
      <c r="AJ663" s="196"/>
      <c r="AK663" s="196"/>
      <c r="AL663" s="196"/>
      <c r="AM663" s="196"/>
      <c r="AN663" s="196"/>
      <c r="AO663" s="196"/>
      <c r="AP663" s="196"/>
      <c r="AQ663" s="196"/>
      <c r="AR663" s="196"/>
      <c r="AS663" s="196"/>
    </row>
    <row r="664" spans="1:45" ht="15.75" customHeight="1">
      <c r="A664" s="196"/>
      <c r="B664" s="196"/>
      <c r="C664" s="88"/>
      <c r="D664" s="88"/>
      <c r="E664" s="88"/>
      <c r="F664" s="196"/>
      <c r="G664" s="196"/>
      <c r="H664" s="196"/>
      <c r="I664" s="196"/>
      <c r="J664" s="196"/>
      <c r="K664" s="196"/>
      <c r="L664" s="196"/>
      <c r="M664" s="196"/>
      <c r="N664" s="196"/>
      <c r="O664" s="196"/>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row>
    <row r="665" spans="1:45" ht="15.75" customHeight="1">
      <c r="A665" s="196"/>
      <c r="B665" s="196"/>
      <c r="C665" s="88"/>
      <c r="D665" s="88"/>
      <c r="E665" s="88"/>
      <c r="F665" s="196"/>
      <c r="G665" s="196"/>
      <c r="H665" s="196"/>
      <c r="I665" s="196"/>
      <c r="J665" s="196"/>
      <c r="K665" s="196"/>
      <c r="L665" s="196"/>
      <c r="M665" s="196"/>
      <c r="N665" s="196"/>
      <c r="O665" s="196"/>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row>
    <row r="666" spans="1:45" ht="15.75" customHeight="1">
      <c r="A666" s="196"/>
      <c r="B666" s="196"/>
      <c r="C666" s="88"/>
      <c r="D666" s="88"/>
      <c r="E666" s="88"/>
      <c r="F666" s="196"/>
      <c r="G666" s="196"/>
      <c r="H666" s="196"/>
      <c r="I666" s="196"/>
      <c r="J666" s="196"/>
      <c r="K666" s="196"/>
      <c r="L666" s="196"/>
      <c r="M666" s="196"/>
      <c r="N666" s="196"/>
      <c r="O666" s="196"/>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row>
    <row r="667" spans="1:45" ht="15.75" customHeight="1">
      <c r="A667" s="196"/>
      <c r="B667" s="196"/>
      <c r="C667" s="88"/>
      <c r="D667" s="88"/>
      <c r="E667" s="88"/>
      <c r="F667" s="196"/>
      <c r="G667" s="196"/>
      <c r="H667" s="196"/>
      <c r="I667" s="196"/>
      <c r="J667" s="196"/>
      <c r="K667" s="196"/>
      <c r="L667" s="196"/>
      <c r="M667" s="196"/>
      <c r="N667" s="196"/>
      <c r="O667" s="196"/>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row>
    <row r="668" spans="1:45" ht="15.75" customHeight="1">
      <c r="A668" s="196"/>
      <c r="B668" s="196"/>
      <c r="C668" s="88"/>
      <c r="D668" s="88"/>
      <c r="E668" s="88"/>
      <c r="F668" s="196"/>
      <c r="G668" s="196"/>
      <c r="H668" s="196"/>
      <c r="I668" s="196"/>
      <c r="J668" s="196"/>
      <c r="K668" s="196"/>
      <c r="L668" s="196"/>
      <c r="M668" s="196"/>
      <c r="N668" s="196"/>
      <c r="O668" s="196"/>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row>
    <row r="669" spans="1:45" ht="15.75" customHeight="1">
      <c r="A669" s="196"/>
      <c r="B669" s="196"/>
      <c r="C669" s="88"/>
      <c r="D669" s="88"/>
      <c r="E669" s="88"/>
      <c r="F669" s="196"/>
      <c r="G669" s="196"/>
      <c r="H669" s="196"/>
      <c r="I669" s="196"/>
      <c r="J669" s="196"/>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row>
    <row r="670" spans="1:45" ht="15.75" customHeight="1">
      <c r="A670" s="196"/>
      <c r="B670" s="196"/>
      <c r="C670" s="88"/>
      <c r="D670" s="88"/>
      <c r="E670" s="88"/>
      <c r="F670" s="196"/>
      <c r="G670" s="196"/>
      <c r="H670" s="196"/>
      <c r="I670" s="196"/>
      <c r="J670" s="196"/>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row>
    <row r="671" spans="1:45" ht="15.75" customHeight="1">
      <c r="A671" s="196"/>
      <c r="B671" s="196"/>
      <c r="C671" s="88"/>
      <c r="D671" s="88"/>
      <c r="E671" s="88"/>
      <c r="F671" s="196"/>
      <c r="G671" s="196"/>
      <c r="H671" s="196"/>
      <c r="I671" s="196"/>
      <c r="J671" s="196"/>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row>
    <row r="672" spans="1:45" ht="15.75" customHeight="1">
      <c r="A672" s="196"/>
      <c r="B672" s="196"/>
      <c r="C672" s="88"/>
      <c r="D672" s="88"/>
      <c r="E672" s="88"/>
      <c r="F672" s="196"/>
      <c r="G672" s="196"/>
      <c r="H672" s="196"/>
      <c r="I672" s="196"/>
      <c r="J672" s="196"/>
      <c r="K672" s="196"/>
      <c r="L672" s="196"/>
      <c r="M672" s="196"/>
      <c r="N672" s="196"/>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row>
    <row r="673" spans="1:45" ht="15.75" customHeight="1">
      <c r="A673" s="196"/>
      <c r="B673" s="196"/>
      <c r="C673" s="88"/>
      <c r="D673" s="88"/>
      <c r="E673" s="88"/>
      <c r="F673" s="196"/>
      <c r="G673" s="196"/>
      <c r="H673" s="196"/>
      <c r="I673" s="196"/>
      <c r="J673" s="196"/>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row>
    <row r="674" spans="1:45" ht="15.75" customHeight="1">
      <c r="A674" s="196"/>
      <c r="B674" s="196"/>
      <c r="C674" s="88"/>
      <c r="D674" s="88"/>
      <c r="E674" s="88"/>
      <c r="F674" s="196"/>
      <c r="G674" s="196"/>
      <c r="H674" s="196"/>
      <c r="I674" s="196"/>
      <c r="J674" s="196"/>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row>
    <row r="675" spans="1:45" ht="15.75" customHeight="1">
      <c r="A675" s="196"/>
      <c r="B675" s="196"/>
      <c r="C675" s="88"/>
      <c r="D675" s="88"/>
      <c r="E675" s="88"/>
      <c r="F675" s="196"/>
      <c r="G675" s="196"/>
      <c r="H675" s="196"/>
      <c r="I675" s="196"/>
      <c r="J675" s="196"/>
      <c r="K675" s="196"/>
      <c r="L675" s="196"/>
      <c r="M675" s="196"/>
      <c r="N675" s="196"/>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row>
    <row r="676" spans="1:45" ht="15.75" customHeight="1">
      <c r="A676" s="196"/>
      <c r="B676" s="196"/>
      <c r="C676" s="88"/>
      <c r="D676" s="88"/>
      <c r="E676" s="88"/>
      <c r="F676" s="196"/>
      <c r="G676" s="196"/>
      <c r="H676" s="196"/>
      <c r="I676" s="196"/>
      <c r="J676" s="196"/>
      <c r="K676" s="196"/>
      <c r="L676" s="196"/>
      <c r="M676" s="196"/>
      <c r="N676" s="196"/>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row>
    <row r="677" spans="1:45" ht="15.75" customHeight="1">
      <c r="A677" s="196"/>
      <c r="B677" s="196"/>
      <c r="C677" s="88"/>
      <c r="D677" s="88"/>
      <c r="E677" s="88"/>
      <c r="F677" s="196"/>
      <c r="G677" s="196"/>
      <c r="H677" s="196"/>
      <c r="I677" s="196"/>
      <c r="J677" s="196"/>
      <c r="K677" s="196"/>
      <c r="L677" s="196"/>
      <c r="M677" s="196"/>
      <c r="N677" s="196"/>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row>
    <row r="678" spans="1:45" ht="15.75" customHeight="1">
      <c r="A678" s="196"/>
      <c r="B678" s="196"/>
      <c r="C678" s="88"/>
      <c r="D678" s="88"/>
      <c r="E678" s="88"/>
      <c r="F678" s="196"/>
      <c r="G678" s="196"/>
      <c r="H678" s="196"/>
      <c r="I678" s="196"/>
      <c r="J678" s="196"/>
      <c r="K678" s="196"/>
      <c r="L678" s="196"/>
      <c r="M678" s="196"/>
      <c r="N678" s="196"/>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row>
    <row r="679" spans="1:45" ht="15.75" customHeight="1">
      <c r="A679" s="196"/>
      <c r="B679" s="196"/>
      <c r="C679" s="88"/>
      <c r="D679" s="88"/>
      <c r="E679" s="88"/>
      <c r="F679" s="196"/>
      <c r="G679" s="196"/>
      <c r="H679" s="196"/>
      <c r="I679" s="196"/>
      <c r="J679" s="196"/>
      <c r="K679" s="196"/>
      <c r="L679" s="196"/>
      <c r="M679" s="196"/>
      <c r="N679" s="196"/>
      <c r="O679" s="196"/>
      <c r="P679" s="196"/>
      <c r="Q679" s="196"/>
      <c r="R679" s="196"/>
      <c r="S679" s="196"/>
      <c r="T679" s="196"/>
      <c r="U679" s="196"/>
      <c r="V679" s="196"/>
      <c r="W679" s="196"/>
      <c r="X679" s="196"/>
      <c r="Y679" s="196"/>
      <c r="Z679" s="196"/>
      <c r="AA679" s="196"/>
      <c r="AB679" s="196"/>
      <c r="AC679" s="196"/>
      <c r="AD679" s="196"/>
      <c r="AE679" s="196"/>
      <c r="AF679" s="196"/>
      <c r="AG679" s="196"/>
      <c r="AH679" s="196"/>
      <c r="AI679" s="196"/>
      <c r="AJ679" s="196"/>
      <c r="AK679" s="196"/>
      <c r="AL679" s="196"/>
      <c r="AM679" s="196"/>
      <c r="AN679" s="196"/>
      <c r="AO679" s="196"/>
      <c r="AP679" s="196"/>
      <c r="AQ679" s="196"/>
      <c r="AR679" s="196"/>
      <c r="AS679" s="196"/>
    </row>
    <row r="680" spans="1:45" ht="15.75" customHeight="1">
      <c r="A680" s="196"/>
      <c r="B680" s="196"/>
      <c r="C680" s="88"/>
      <c r="D680" s="88"/>
      <c r="E680" s="88"/>
      <c r="F680" s="196"/>
      <c r="G680" s="196"/>
      <c r="H680" s="196"/>
      <c r="I680" s="196"/>
      <c r="J680" s="196"/>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c r="AJ680" s="196"/>
      <c r="AK680" s="196"/>
      <c r="AL680" s="196"/>
      <c r="AM680" s="196"/>
      <c r="AN680" s="196"/>
      <c r="AO680" s="196"/>
      <c r="AP680" s="196"/>
      <c r="AQ680" s="196"/>
      <c r="AR680" s="196"/>
      <c r="AS680" s="196"/>
    </row>
    <row r="681" spans="1:45" ht="15.75" customHeight="1">
      <c r="A681" s="196"/>
      <c r="B681" s="196"/>
      <c r="C681" s="88"/>
      <c r="D681" s="88"/>
      <c r="E681" s="88"/>
      <c r="F681" s="196"/>
      <c r="G681" s="196"/>
      <c r="H681" s="196"/>
      <c r="I681" s="196"/>
      <c r="J681" s="196"/>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c r="AJ681" s="196"/>
      <c r="AK681" s="196"/>
      <c r="AL681" s="196"/>
      <c r="AM681" s="196"/>
      <c r="AN681" s="196"/>
      <c r="AO681" s="196"/>
      <c r="AP681" s="196"/>
      <c r="AQ681" s="196"/>
      <c r="AR681" s="196"/>
      <c r="AS681" s="196"/>
    </row>
    <row r="682" spans="1:45" ht="15.75" customHeight="1">
      <c r="A682" s="196"/>
      <c r="B682" s="196"/>
      <c r="C682" s="88"/>
      <c r="D682" s="88"/>
      <c r="E682" s="88"/>
      <c r="F682" s="196"/>
      <c r="G682" s="196"/>
      <c r="H682" s="196"/>
      <c r="I682" s="196"/>
      <c r="J682" s="196"/>
      <c r="K682" s="196"/>
      <c r="L682" s="196"/>
      <c r="M682" s="196"/>
      <c r="N682" s="196"/>
      <c r="O682" s="196"/>
      <c r="P682" s="196"/>
      <c r="Q682" s="196"/>
      <c r="R682" s="196"/>
      <c r="S682" s="196"/>
      <c r="T682" s="196"/>
      <c r="U682" s="196"/>
      <c r="V682" s="196"/>
      <c r="W682" s="196"/>
      <c r="X682" s="196"/>
      <c r="Y682" s="196"/>
      <c r="Z682" s="196"/>
      <c r="AA682" s="196"/>
      <c r="AB682" s="196"/>
      <c r="AC682" s="196"/>
      <c r="AD682" s="196"/>
      <c r="AE682" s="196"/>
      <c r="AF682" s="196"/>
      <c r="AG682" s="196"/>
      <c r="AH682" s="196"/>
      <c r="AI682" s="196"/>
      <c r="AJ682" s="196"/>
      <c r="AK682" s="196"/>
      <c r="AL682" s="196"/>
      <c r="AM682" s="196"/>
      <c r="AN682" s="196"/>
      <c r="AO682" s="196"/>
      <c r="AP682" s="196"/>
      <c r="AQ682" s="196"/>
      <c r="AR682" s="196"/>
      <c r="AS682" s="196"/>
    </row>
    <row r="683" spans="1:45" ht="15.75" customHeight="1">
      <c r="A683" s="196"/>
      <c r="B683" s="196"/>
      <c r="C683" s="88"/>
      <c r="D683" s="88"/>
      <c r="E683" s="88"/>
      <c r="F683" s="196"/>
      <c r="G683" s="196"/>
      <c r="H683" s="196"/>
      <c r="I683" s="196"/>
      <c r="J683" s="196"/>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c r="AJ683" s="196"/>
      <c r="AK683" s="196"/>
      <c r="AL683" s="196"/>
      <c r="AM683" s="196"/>
      <c r="AN683" s="196"/>
      <c r="AO683" s="196"/>
      <c r="AP683" s="196"/>
      <c r="AQ683" s="196"/>
      <c r="AR683" s="196"/>
      <c r="AS683" s="196"/>
    </row>
    <row r="684" spans="1:45" ht="15.75" customHeight="1">
      <c r="A684" s="196"/>
      <c r="B684" s="196"/>
      <c r="C684" s="88"/>
      <c r="D684" s="88"/>
      <c r="E684" s="88"/>
      <c r="F684" s="196"/>
      <c r="G684" s="196"/>
      <c r="H684" s="196"/>
      <c r="I684" s="196"/>
      <c r="J684" s="196"/>
      <c r="K684" s="196"/>
      <c r="L684" s="196"/>
      <c r="M684" s="196"/>
      <c r="N684" s="196"/>
      <c r="O684" s="196"/>
      <c r="P684" s="196"/>
      <c r="Q684" s="196"/>
      <c r="R684" s="196"/>
      <c r="S684" s="196"/>
      <c r="T684" s="196"/>
      <c r="U684" s="196"/>
      <c r="V684" s="196"/>
      <c r="W684" s="196"/>
      <c r="X684" s="196"/>
      <c r="Y684" s="196"/>
      <c r="Z684" s="196"/>
      <c r="AA684" s="196"/>
      <c r="AB684" s="196"/>
      <c r="AC684" s="196"/>
      <c r="AD684" s="196"/>
      <c r="AE684" s="196"/>
      <c r="AF684" s="196"/>
      <c r="AG684" s="196"/>
      <c r="AH684" s="196"/>
      <c r="AI684" s="196"/>
      <c r="AJ684" s="196"/>
      <c r="AK684" s="196"/>
      <c r="AL684" s="196"/>
      <c r="AM684" s="196"/>
      <c r="AN684" s="196"/>
      <c r="AO684" s="196"/>
      <c r="AP684" s="196"/>
      <c r="AQ684" s="196"/>
      <c r="AR684" s="196"/>
      <c r="AS684" s="196"/>
    </row>
    <row r="685" spans="1:45" ht="15.75" customHeight="1">
      <c r="A685" s="196"/>
      <c r="B685" s="196"/>
      <c r="C685" s="88"/>
      <c r="D685" s="88"/>
      <c r="E685" s="88"/>
      <c r="F685" s="196"/>
      <c r="G685" s="196"/>
      <c r="H685" s="196"/>
      <c r="I685" s="196"/>
      <c r="J685" s="196"/>
      <c r="K685" s="196"/>
      <c r="L685" s="196"/>
      <c r="M685" s="196"/>
      <c r="N685" s="196"/>
      <c r="O685" s="196"/>
      <c r="P685" s="196"/>
      <c r="Q685" s="196"/>
      <c r="R685" s="196"/>
      <c r="S685" s="196"/>
      <c r="T685" s="196"/>
      <c r="U685" s="196"/>
      <c r="V685" s="196"/>
      <c r="W685" s="196"/>
      <c r="X685" s="196"/>
      <c r="Y685" s="196"/>
      <c r="Z685" s="196"/>
      <c r="AA685" s="196"/>
      <c r="AB685" s="196"/>
      <c r="AC685" s="196"/>
      <c r="AD685" s="196"/>
      <c r="AE685" s="196"/>
      <c r="AF685" s="196"/>
      <c r="AG685" s="196"/>
      <c r="AH685" s="196"/>
      <c r="AI685" s="196"/>
      <c r="AJ685" s="196"/>
      <c r="AK685" s="196"/>
      <c r="AL685" s="196"/>
      <c r="AM685" s="196"/>
      <c r="AN685" s="196"/>
      <c r="AO685" s="196"/>
      <c r="AP685" s="196"/>
      <c r="AQ685" s="196"/>
      <c r="AR685" s="196"/>
      <c r="AS685" s="196"/>
    </row>
    <row r="686" spans="1:45" ht="15.75" customHeight="1">
      <c r="A686" s="196"/>
      <c r="B686" s="196"/>
      <c r="C686" s="88"/>
      <c r="D686" s="88"/>
      <c r="E686" s="88"/>
      <c r="F686" s="196"/>
      <c r="G686" s="196"/>
      <c r="H686" s="196"/>
      <c r="I686" s="196"/>
      <c r="J686" s="196"/>
      <c r="K686" s="196"/>
      <c r="L686" s="196"/>
      <c r="M686" s="196"/>
      <c r="N686" s="196"/>
      <c r="O686" s="196"/>
      <c r="P686" s="196"/>
      <c r="Q686" s="196"/>
      <c r="R686" s="196"/>
      <c r="S686" s="196"/>
      <c r="T686" s="196"/>
      <c r="U686" s="196"/>
      <c r="V686" s="196"/>
      <c r="W686" s="196"/>
      <c r="X686" s="196"/>
      <c r="Y686" s="196"/>
      <c r="Z686" s="196"/>
      <c r="AA686" s="196"/>
      <c r="AB686" s="196"/>
      <c r="AC686" s="196"/>
      <c r="AD686" s="196"/>
      <c r="AE686" s="196"/>
      <c r="AF686" s="196"/>
      <c r="AG686" s="196"/>
      <c r="AH686" s="196"/>
      <c r="AI686" s="196"/>
      <c r="AJ686" s="196"/>
      <c r="AK686" s="196"/>
      <c r="AL686" s="196"/>
      <c r="AM686" s="196"/>
      <c r="AN686" s="196"/>
      <c r="AO686" s="196"/>
      <c r="AP686" s="196"/>
      <c r="AQ686" s="196"/>
      <c r="AR686" s="196"/>
      <c r="AS686" s="196"/>
    </row>
    <row r="687" spans="1:45" ht="15.75" customHeight="1">
      <c r="A687" s="196"/>
      <c r="B687" s="196"/>
      <c r="C687" s="88"/>
      <c r="D687" s="88"/>
      <c r="E687" s="88"/>
      <c r="F687" s="196"/>
      <c r="G687" s="196"/>
      <c r="H687" s="196"/>
      <c r="I687" s="196"/>
      <c r="J687" s="196"/>
      <c r="K687" s="196"/>
      <c r="L687" s="196"/>
      <c r="M687" s="196"/>
      <c r="N687" s="196"/>
      <c r="O687" s="196"/>
      <c r="P687" s="196"/>
      <c r="Q687" s="196"/>
      <c r="R687" s="196"/>
      <c r="S687" s="196"/>
      <c r="T687" s="196"/>
      <c r="U687" s="196"/>
      <c r="V687" s="196"/>
      <c r="W687" s="196"/>
      <c r="X687" s="196"/>
      <c r="Y687" s="196"/>
      <c r="Z687" s="196"/>
      <c r="AA687" s="196"/>
      <c r="AB687" s="196"/>
      <c r="AC687" s="196"/>
      <c r="AD687" s="196"/>
      <c r="AE687" s="196"/>
      <c r="AF687" s="196"/>
      <c r="AG687" s="196"/>
      <c r="AH687" s="196"/>
      <c r="AI687" s="196"/>
      <c r="AJ687" s="196"/>
      <c r="AK687" s="196"/>
      <c r="AL687" s="196"/>
      <c r="AM687" s="196"/>
      <c r="AN687" s="196"/>
      <c r="AO687" s="196"/>
      <c r="AP687" s="196"/>
      <c r="AQ687" s="196"/>
      <c r="AR687" s="196"/>
      <c r="AS687" s="196"/>
    </row>
    <row r="688" spans="1:45" ht="15.75" customHeight="1">
      <c r="A688" s="196"/>
      <c r="B688" s="196"/>
      <c r="C688" s="88"/>
      <c r="D688" s="88"/>
      <c r="E688" s="88"/>
      <c r="F688" s="196"/>
      <c r="G688" s="196"/>
      <c r="H688" s="196"/>
      <c r="I688" s="196"/>
      <c r="J688" s="196"/>
      <c r="K688" s="196"/>
      <c r="L688" s="196"/>
      <c r="M688" s="196"/>
      <c r="N688" s="196"/>
      <c r="O688" s="196"/>
      <c r="P688" s="196"/>
      <c r="Q688" s="196"/>
      <c r="R688" s="196"/>
      <c r="S688" s="196"/>
      <c r="T688" s="196"/>
      <c r="U688" s="196"/>
      <c r="V688" s="196"/>
      <c r="W688" s="196"/>
      <c r="X688" s="196"/>
      <c r="Y688" s="196"/>
      <c r="Z688" s="196"/>
      <c r="AA688" s="196"/>
      <c r="AB688" s="196"/>
      <c r="AC688" s="196"/>
      <c r="AD688" s="196"/>
      <c r="AE688" s="196"/>
      <c r="AF688" s="196"/>
      <c r="AG688" s="196"/>
      <c r="AH688" s="196"/>
      <c r="AI688" s="196"/>
      <c r="AJ688" s="196"/>
      <c r="AK688" s="196"/>
      <c r="AL688" s="196"/>
      <c r="AM688" s="196"/>
      <c r="AN688" s="196"/>
      <c r="AO688" s="196"/>
      <c r="AP688" s="196"/>
      <c r="AQ688" s="196"/>
      <c r="AR688" s="196"/>
      <c r="AS688" s="196"/>
    </row>
    <row r="689" spans="1:45" ht="15.75" customHeight="1">
      <c r="A689" s="196"/>
      <c r="B689" s="196"/>
      <c r="C689" s="88"/>
      <c r="D689" s="88"/>
      <c r="E689" s="88"/>
      <c r="F689" s="196"/>
      <c r="G689" s="196"/>
      <c r="H689" s="196"/>
      <c r="I689" s="196"/>
      <c r="J689" s="196"/>
      <c r="K689" s="196"/>
      <c r="L689" s="196"/>
      <c r="M689" s="196"/>
      <c r="N689" s="196"/>
      <c r="O689" s="196"/>
      <c r="P689" s="196"/>
      <c r="Q689" s="196"/>
      <c r="R689" s="196"/>
      <c r="S689" s="196"/>
      <c r="T689" s="196"/>
      <c r="U689" s="196"/>
      <c r="V689" s="196"/>
      <c r="W689" s="196"/>
      <c r="X689" s="196"/>
      <c r="Y689" s="196"/>
      <c r="Z689" s="196"/>
      <c r="AA689" s="196"/>
      <c r="AB689" s="196"/>
      <c r="AC689" s="196"/>
      <c r="AD689" s="196"/>
      <c r="AE689" s="196"/>
      <c r="AF689" s="196"/>
      <c r="AG689" s="196"/>
      <c r="AH689" s="196"/>
      <c r="AI689" s="196"/>
      <c r="AJ689" s="196"/>
      <c r="AK689" s="196"/>
      <c r="AL689" s="196"/>
      <c r="AM689" s="196"/>
      <c r="AN689" s="196"/>
      <c r="AO689" s="196"/>
      <c r="AP689" s="196"/>
      <c r="AQ689" s="196"/>
      <c r="AR689" s="196"/>
      <c r="AS689" s="196"/>
    </row>
    <row r="690" spans="1:45" ht="15.75" customHeight="1">
      <c r="A690" s="196"/>
      <c r="B690" s="196"/>
      <c r="C690" s="88"/>
      <c r="D690" s="88"/>
      <c r="E690" s="88"/>
      <c r="F690" s="196"/>
      <c r="G690" s="196"/>
      <c r="H690" s="196"/>
      <c r="I690" s="196"/>
      <c r="J690" s="196"/>
      <c r="K690" s="196"/>
      <c r="L690" s="196"/>
      <c r="M690" s="196"/>
      <c r="N690" s="196"/>
      <c r="O690" s="196"/>
      <c r="P690" s="196"/>
      <c r="Q690" s="196"/>
      <c r="R690" s="196"/>
      <c r="S690" s="196"/>
      <c r="T690" s="196"/>
      <c r="U690" s="196"/>
      <c r="V690" s="196"/>
      <c r="W690" s="196"/>
      <c r="X690" s="196"/>
      <c r="Y690" s="196"/>
      <c r="Z690" s="196"/>
      <c r="AA690" s="196"/>
      <c r="AB690" s="196"/>
      <c r="AC690" s="196"/>
      <c r="AD690" s="196"/>
      <c r="AE690" s="196"/>
      <c r="AF690" s="196"/>
      <c r="AG690" s="196"/>
      <c r="AH690" s="196"/>
      <c r="AI690" s="196"/>
      <c r="AJ690" s="196"/>
      <c r="AK690" s="196"/>
      <c r="AL690" s="196"/>
      <c r="AM690" s="196"/>
      <c r="AN690" s="196"/>
      <c r="AO690" s="196"/>
      <c r="AP690" s="196"/>
      <c r="AQ690" s="196"/>
      <c r="AR690" s="196"/>
      <c r="AS690" s="196"/>
    </row>
    <row r="691" spans="1:45" ht="15.75" customHeight="1">
      <c r="A691" s="196"/>
      <c r="B691" s="196"/>
      <c r="C691" s="88"/>
      <c r="D691" s="88"/>
      <c r="E691" s="88"/>
      <c r="F691" s="196"/>
      <c r="G691" s="196"/>
      <c r="H691" s="196"/>
      <c r="I691" s="196"/>
      <c r="J691" s="196"/>
      <c r="K691" s="196"/>
      <c r="L691" s="196"/>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c r="AN691" s="196"/>
      <c r="AO691" s="196"/>
      <c r="AP691" s="196"/>
      <c r="AQ691" s="196"/>
      <c r="AR691" s="196"/>
      <c r="AS691" s="196"/>
    </row>
    <row r="692" spans="1:45" ht="15.75" customHeight="1">
      <c r="A692" s="196"/>
      <c r="B692" s="196"/>
      <c r="C692" s="88"/>
      <c r="D692" s="88"/>
      <c r="E692" s="88"/>
      <c r="F692" s="196"/>
      <c r="G692" s="196"/>
      <c r="H692" s="196"/>
      <c r="I692" s="196"/>
      <c r="J692" s="196"/>
      <c r="K692" s="196"/>
      <c r="L692" s="196"/>
      <c r="M692" s="196"/>
      <c r="N692" s="196"/>
      <c r="O692" s="196"/>
      <c r="P692" s="196"/>
      <c r="Q692" s="196"/>
      <c r="R692" s="196"/>
      <c r="S692" s="196"/>
      <c r="T692" s="196"/>
      <c r="U692" s="196"/>
      <c r="V692" s="196"/>
      <c r="W692" s="196"/>
      <c r="X692" s="196"/>
      <c r="Y692" s="196"/>
      <c r="Z692" s="196"/>
      <c r="AA692" s="196"/>
      <c r="AB692" s="196"/>
      <c r="AC692" s="196"/>
      <c r="AD692" s="196"/>
      <c r="AE692" s="196"/>
      <c r="AF692" s="196"/>
      <c r="AG692" s="196"/>
      <c r="AH692" s="196"/>
      <c r="AI692" s="196"/>
      <c r="AJ692" s="196"/>
      <c r="AK692" s="196"/>
      <c r="AL692" s="196"/>
      <c r="AM692" s="196"/>
      <c r="AN692" s="196"/>
      <c r="AO692" s="196"/>
      <c r="AP692" s="196"/>
      <c r="AQ692" s="196"/>
      <c r="AR692" s="196"/>
      <c r="AS692" s="196"/>
    </row>
    <row r="693" spans="1:45" ht="15.75" customHeight="1">
      <c r="A693" s="196"/>
      <c r="B693" s="196"/>
      <c r="C693" s="88"/>
      <c r="D693" s="88"/>
      <c r="E693" s="88"/>
      <c r="F693" s="196"/>
      <c r="G693" s="196"/>
      <c r="H693" s="196"/>
      <c r="I693" s="196"/>
      <c r="J693" s="196"/>
      <c r="K693" s="196"/>
      <c r="L693" s="196"/>
      <c r="M693" s="196"/>
      <c r="N693" s="196"/>
      <c r="O693" s="196"/>
      <c r="P693" s="196"/>
      <c r="Q693" s="196"/>
      <c r="R693" s="196"/>
      <c r="S693" s="196"/>
      <c r="T693" s="196"/>
      <c r="U693" s="196"/>
      <c r="V693" s="196"/>
      <c r="W693" s="196"/>
      <c r="X693" s="196"/>
      <c r="Y693" s="196"/>
      <c r="Z693" s="196"/>
      <c r="AA693" s="196"/>
      <c r="AB693" s="196"/>
      <c r="AC693" s="196"/>
      <c r="AD693" s="196"/>
      <c r="AE693" s="196"/>
      <c r="AF693" s="196"/>
      <c r="AG693" s="196"/>
      <c r="AH693" s="196"/>
      <c r="AI693" s="196"/>
      <c r="AJ693" s="196"/>
      <c r="AK693" s="196"/>
      <c r="AL693" s="196"/>
      <c r="AM693" s="196"/>
      <c r="AN693" s="196"/>
      <c r="AO693" s="196"/>
      <c r="AP693" s="196"/>
      <c r="AQ693" s="196"/>
      <c r="AR693" s="196"/>
      <c r="AS693" s="196"/>
    </row>
    <row r="694" spans="1:45" ht="15.75" customHeight="1">
      <c r="A694" s="196"/>
      <c r="B694" s="196"/>
      <c r="C694" s="88"/>
      <c r="D694" s="88"/>
      <c r="E694" s="88"/>
      <c r="F694" s="196"/>
      <c r="G694" s="196"/>
      <c r="H694" s="196"/>
      <c r="I694" s="196"/>
      <c r="J694" s="196"/>
      <c r="K694" s="196"/>
      <c r="L694" s="196"/>
      <c r="M694" s="196"/>
      <c r="N694" s="196"/>
      <c r="O694" s="196"/>
      <c r="P694" s="196"/>
      <c r="Q694" s="196"/>
      <c r="R694" s="196"/>
      <c r="S694" s="196"/>
      <c r="T694" s="196"/>
      <c r="U694" s="196"/>
      <c r="V694" s="196"/>
      <c r="W694" s="196"/>
      <c r="X694" s="196"/>
      <c r="Y694" s="196"/>
      <c r="Z694" s="196"/>
      <c r="AA694" s="196"/>
      <c r="AB694" s="196"/>
      <c r="AC694" s="196"/>
      <c r="AD694" s="196"/>
      <c r="AE694" s="196"/>
      <c r="AF694" s="196"/>
      <c r="AG694" s="196"/>
      <c r="AH694" s="196"/>
      <c r="AI694" s="196"/>
      <c r="AJ694" s="196"/>
      <c r="AK694" s="196"/>
      <c r="AL694" s="196"/>
      <c r="AM694" s="196"/>
      <c r="AN694" s="196"/>
      <c r="AO694" s="196"/>
      <c r="AP694" s="196"/>
      <c r="AQ694" s="196"/>
      <c r="AR694" s="196"/>
      <c r="AS694" s="196"/>
    </row>
    <row r="695" spans="1:45" ht="15.75" customHeight="1">
      <c r="A695" s="196"/>
      <c r="B695" s="196"/>
      <c r="C695" s="88"/>
      <c r="D695" s="88"/>
      <c r="E695" s="88"/>
      <c r="F695" s="196"/>
      <c r="G695" s="196"/>
      <c r="H695" s="196"/>
      <c r="I695" s="196"/>
      <c r="J695" s="196"/>
      <c r="K695" s="196"/>
      <c r="L695" s="196"/>
      <c r="M695" s="196"/>
      <c r="N695" s="196"/>
      <c r="O695" s="196"/>
      <c r="P695" s="196"/>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c r="AQ695" s="196"/>
      <c r="AR695" s="196"/>
      <c r="AS695" s="196"/>
    </row>
    <row r="696" spans="1:45" ht="15.75" customHeight="1">
      <c r="A696" s="196"/>
      <c r="B696" s="196"/>
      <c r="C696" s="88"/>
      <c r="D696" s="88"/>
      <c r="E696" s="88"/>
      <c r="F696" s="196"/>
      <c r="G696" s="196"/>
      <c r="H696" s="196"/>
      <c r="I696" s="196"/>
      <c r="J696" s="196"/>
      <c r="K696" s="196"/>
      <c r="L696" s="196"/>
      <c r="M696" s="196"/>
      <c r="N696" s="196"/>
      <c r="O696" s="196"/>
      <c r="P696" s="196"/>
      <c r="Q696" s="196"/>
      <c r="R696" s="196"/>
      <c r="S696" s="196"/>
      <c r="T696" s="196"/>
      <c r="U696" s="196"/>
      <c r="V696" s="196"/>
      <c r="W696" s="196"/>
      <c r="X696" s="196"/>
      <c r="Y696" s="196"/>
      <c r="Z696" s="196"/>
      <c r="AA696" s="196"/>
      <c r="AB696" s="196"/>
      <c r="AC696" s="196"/>
      <c r="AD696" s="196"/>
      <c r="AE696" s="196"/>
      <c r="AF696" s="196"/>
      <c r="AG696" s="196"/>
      <c r="AH696" s="196"/>
      <c r="AI696" s="196"/>
      <c r="AJ696" s="196"/>
      <c r="AK696" s="196"/>
      <c r="AL696" s="196"/>
      <c r="AM696" s="196"/>
      <c r="AN696" s="196"/>
      <c r="AO696" s="196"/>
      <c r="AP696" s="196"/>
      <c r="AQ696" s="196"/>
      <c r="AR696" s="196"/>
      <c r="AS696" s="196"/>
    </row>
    <row r="697" spans="1:45" ht="15.75" customHeight="1">
      <c r="A697" s="196"/>
      <c r="B697" s="196"/>
      <c r="C697" s="88"/>
      <c r="D697" s="88"/>
      <c r="E697" s="88"/>
      <c r="F697" s="196"/>
      <c r="G697" s="196"/>
      <c r="H697" s="196"/>
      <c r="I697" s="196"/>
      <c r="J697" s="196"/>
      <c r="K697" s="196"/>
      <c r="L697" s="196"/>
      <c r="M697" s="196"/>
      <c r="N697" s="196"/>
      <c r="O697" s="196"/>
      <c r="P697" s="196"/>
      <c r="Q697" s="196"/>
      <c r="R697" s="196"/>
      <c r="S697" s="196"/>
      <c r="T697" s="196"/>
      <c r="U697" s="196"/>
      <c r="V697" s="196"/>
      <c r="W697" s="196"/>
      <c r="X697" s="196"/>
      <c r="Y697" s="196"/>
      <c r="Z697" s="196"/>
      <c r="AA697" s="196"/>
      <c r="AB697" s="196"/>
      <c r="AC697" s="196"/>
      <c r="AD697" s="196"/>
      <c r="AE697" s="196"/>
      <c r="AF697" s="196"/>
      <c r="AG697" s="196"/>
      <c r="AH697" s="196"/>
      <c r="AI697" s="196"/>
      <c r="AJ697" s="196"/>
      <c r="AK697" s="196"/>
      <c r="AL697" s="196"/>
      <c r="AM697" s="196"/>
      <c r="AN697" s="196"/>
      <c r="AO697" s="196"/>
      <c r="AP697" s="196"/>
      <c r="AQ697" s="196"/>
      <c r="AR697" s="196"/>
      <c r="AS697" s="196"/>
    </row>
    <row r="698" spans="1:45" ht="15.75" customHeight="1">
      <c r="A698" s="196"/>
      <c r="B698" s="196"/>
      <c r="C698" s="88"/>
      <c r="D698" s="88"/>
      <c r="E698" s="88"/>
      <c r="F698" s="196"/>
      <c r="G698" s="196"/>
      <c r="H698" s="196"/>
      <c r="I698" s="196"/>
      <c r="J698" s="196"/>
      <c r="K698" s="196"/>
      <c r="L698" s="196"/>
      <c r="M698" s="196"/>
      <c r="N698" s="196"/>
      <c r="O698" s="196"/>
      <c r="P698" s="196"/>
      <c r="Q698" s="196"/>
      <c r="R698" s="196"/>
      <c r="S698" s="196"/>
      <c r="T698" s="196"/>
      <c r="U698" s="196"/>
      <c r="V698" s="196"/>
      <c r="W698" s="196"/>
      <c r="X698" s="196"/>
      <c r="Y698" s="196"/>
      <c r="Z698" s="196"/>
      <c r="AA698" s="196"/>
      <c r="AB698" s="196"/>
      <c r="AC698" s="196"/>
      <c r="AD698" s="196"/>
      <c r="AE698" s="196"/>
      <c r="AF698" s="196"/>
      <c r="AG698" s="196"/>
      <c r="AH698" s="196"/>
      <c r="AI698" s="196"/>
      <c r="AJ698" s="196"/>
      <c r="AK698" s="196"/>
      <c r="AL698" s="196"/>
      <c r="AM698" s="196"/>
      <c r="AN698" s="196"/>
      <c r="AO698" s="196"/>
      <c r="AP698" s="196"/>
      <c r="AQ698" s="196"/>
      <c r="AR698" s="196"/>
      <c r="AS698" s="196"/>
    </row>
    <row r="699" spans="1:45" ht="15.75" customHeight="1">
      <c r="A699" s="196"/>
      <c r="B699" s="196"/>
      <c r="C699" s="88"/>
      <c r="D699" s="88"/>
      <c r="E699" s="88"/>
      <c r="F699" s="196"/>
      <c r="G699" s="196"/>
      <c r="H699" s="196"/>
      <c r="I699" s="196"/>
      <c r="J699" s="196"/>
      <c r="K699" s="196"/>
      <c r="L699" s="196"/>
      <c r="M699" s="196"/>
      <c r="N699" s="196"/>
      <c r="O699" s="196"/>
      <c r="P699" s="196"/>
      <c r="Q699" s="196"/>
      <c r="R699" s="196"/>
      <c r="S699" s="196"/>
      <c r="T699" s="196"/>
      <c r="U699" s="196"/>
      <c r="V699" s="196"/>
      <c r="W699" s="196"/>
      <c r="X699" s="196"/>
      <c r="Y699" s="196"/>
      <c r="Z699" s="196"/>
      <c r="AA699" s="196"/>
      <c r="AB699" s="196"/>
      <c r="AC699" s="196"/>
      <c r="AD699" s="196"/>
      <c r="AE699" s="196"/>
      <c r="AF699" s="196"/>
      <c r="AG699" s="196"/>
      <c r="AH699" s="196"/>
      <c r="AI699" s="196"/>
      <c r="AJ699" s="196"/>
      <c r="AK699" s="196"/>
      <c r="AL699" s="196"/>
      <c r="AM699" s="196"/>
      <c r="AN699" s="196"/>
      <c r="AO699" s="196"/>
      <c r="AP699" s="196"/>
      <c r="AQ699" s="196"/>
      <c r="AR699" s="196"/>
      <c r="AS699" s="196"/>
    </row>
    <row r="700" spans="1:45" ht="15.75" customHeight="1">
      <c r="A700" s="196"/>
      <c r="B700" s="196"/>
      <c r="C700" s="88"/>
      <c r="D700" s="88"/>
      <c r="E700" s="88"/>
      <c r="F700" s="196"/>
      <c r="G700" s="196"/>
      <c r="H700" s="196"/>
      <c r="I700" s="196"/>
      <c r="J700" s="196"/>
      <c r="K700" s="196"/>
      <c r="L700" s="196"/>
      <c r="M700" s="196"/>
      <c r="N700" s="196"/>
      <c r="O700" s="196"/>
      <c r="P700" s="196"/>
      <c r="Q700" s="196"/>
      <c r="R700" s="196"/>
      <c r="S700" s="196"/>
      <c r="T700" s="196"/>
      <c r="U700" s="196"/>
      <c r="V700" s="196"/>
      <c r="W700" s="196"/>
      <c r="X700" s="196"/>
      <c r="Y700" s="196"/>
      <c r="Z700" s="196"/>
      <c r="AA700" s="196"/>
      <c r="AB700" s="196"/>
      <c r="AC700" s="196"/>
      <c r="AD700" s="196"/>
      <c r="AE700" s="196"/>
      <c r="AF700" s="196"/>
      <c r="AG700" s="196"/>
      <c r="AH700" s="196"/>
      <c r="AI700" s="196"/>
      <c r="AJ700" s="196"/>
      <c r="AK700" s="196"/>
      <c r="AL700" s="196"/>
      <c r="AM700" s="196"/>
      <c r="AN700" s="196"/>
      <c r="AO700" s="196"/>
      <c r="AP700" s="196"/>
      <c r="AQ700" s="196"/>
      <c r="AR700" s="196"/>
      <c r="AS700" s="196"/>
    </row>
    <row r="701" spans="1:45" ht="15.75" customHeight="1">
      <c r="A701" s="196"/>
      <c r="B701" s="196"/>
      <c r="C701" s="88"/>
      <c r="D701" s="88"/>
      <c r="E701" s="88"/>
      <c r="F701" s="196"/>
      <c r="G701" s="196"/>
      <c r="H701" s="196"/>
      <c r="I701" s="196"/>
      <c r="J701" s="196"/>
      <c r="K701" s="196"/>
      <c r="L701" s="196"/>
      <c r="M701" s="196"/>
      <c r="N701" s="196"/>
      <c r="O701" s="196"/>
      <c r="P701" s="196"/>
      <c r="Q701" s="196"/>
      <c r="R701" s="196"/>
      <c r="S701" s="196"/>
      <c r="T701" s="196"/>
      <c r="U701" s="196"/>
      <c r="V701" s="196"/>
      <c r="W701" s="196"/>
      <c r="X701" s="196"/>
      <c r="Y701" s="196"/>
      <c r="Z701" s="196"/>
      <c r="AA701" s="196"/>
      <c r="AB701" s="196"/>
      <c r="AC701" s="196"/>
      <c r="AD701" s="196"/>
      <c r="AE701" s="196"/>
      <c r="AF701" s="196"/>
      <c r="AG701" s="196"/>
      <c r="AH701" s="196"/>
      <c r="AI701" s="196"/>
      <c r="AJ701" s="196"/>
      <c r="AK701" s="196"/>
      <c r="AL701" s="196"/>
      <c r="AM701" s="196"/>
      <c r="AN701" s="196"/>
      <c r="AO701" s="196"/>
      <c r="AP701" s="196"/>
      <c r="AQ701" s="196"/>
      <c r="AR701" s="196"/>
      <c r="AS701" s="196"/>
    </row>
    <row r="702" spans="1:45" ht="15.75" customHeight="1">
      <c r="A702" s="196"/>
      <c r="B702" s="196"/>
      <c r="C702" s="88"/>
      <c r="D702" s="88"/>
      <c r="E702" s="88"/>
      <c r="F702" s="196"/>
      <c r="G702" s="196"/>
      <c r="H702" s="196"/>
      <c r="I702" s="196"/>
      <c r="J702" s="196"/>
      <c r="K702" s="196"/>
      <c r="L702" s="196"/>
      <c r="M702" s="196"/>
      <c r="N702" s="196"/>
      <c r="O702" s="196"/>
      <c r="P702" s="196"/>
      <c r="Q702" s="196"/>
      <c r="R702" s="196"/>
      <c r="S702" s="196"/>
      <c r="T702" s="196"/>
      <c r="U702" s="196"/>
      <c r="V702" s="196"/>
      <c r="W702" s="196"/>
      <c r="X702" s="196"/>
      <c r="Y702" s="196"/>
      <c r="Z702" s="196"/>
      <c r="AA702" s="196"/>
      <c r="AB702" s="196"/>
      <c r="AC702" s="196"/>
      <c r="AD702" s="196"/>
      <c r="AE702" s="196"/>
      <c r="AF702" s="196"/>
      <c r="AG702" s="196"/>
      <c r="AH702" s="196"/>
      <c r="AI702" s="196"/>
      <c r="AJ702" s="196"/>
      <c r="AK702" s="196"/>
      <c r="AL702" s="196"/>
      <c r="AM702" s="196"/>
      <c r="AN702" s="196"/>
      <c r="AO702" s="196"/>
      <c r="AP702" s="196"/>
      <c r="AQ702" s="196"/>
      <c r="AR702" s="196"/>
      <c r="AS702" s="196"/>
    </row>
    <row r="703" spans="1:45" ht="15.75" customHeight="1">
      <c r="A703" s="196"/>
      <c r="B703" s="196"/>
      <c r="C703" s="88"/>
      <c r="D703" s="88"/>
      <c r="E703" s="88"/>
      <c r="F703" s="196"/>
      <c r="G703" s="196"/>
      <c r="H703" s="196"/>
      <c r="I703" s="196"/>
      <c r="J703" s="196"/>
      <c r="K703" s="196"/>
      <c r="L703" s="196"/>
      <c r="M703" s="196"/>
      <c r="N703" s="196"/>
      <c r="O703" s="196"/>
      <c r="P703" s="196"/>
      <c r="Q703" s="196"/>
      <c r="R703" s="196"/>
      <c r="S703" s="196"/>
      <c r="T703" s="196"/>
      <c r="U703" s="196"/>
      <c r="V703" s="196"/>
      <c r="W703" s="196"/>
      <c r="X703" s="196"/>
      <c r="Y703" s="196"/>
      <c r="Z703" s="196"/>
      <c r="AA703" s="196"/>
      <c r="AB703" s="196"/>
      <c r="AC703" s="196"/>
      <c r="AD703" s="196"/>
      <c r="AE703" s="196"/>
      <c r="AF703" s="196"/>
      <c r="AG703" s="196"/>
      <c r="AH703" s="196"/>
      <c r="AI703" s="196"/>
      <c r="AJ703" s="196"/>
      <c r="AK703" s="196"/>
      <c r="AL703" s="196"/>
      <c r="AM703" s="196"/>
      <c r="AN703" s="196"/>
      <c r="AO703" s="196"/>
      <c r="AP703" s="196"/>
      <c r="AQ703" s="196"/>
      <c r="AR703" s="196"/>
      <c r="AS703" s="196"/>
    </row>
    <row r="704" spans="1:45" ht="15.75" customHeight="1">
      <c r="A704" s="196"/>
      <c r="B704" s="196"/>
      <c r="C704" s="88"/>
      <c r="D704" s="88"/>
      <c r="E704" s="88"/>
      <c r="F704" s="196"/>
      <c r="G704" s="196"/>
      <c r="H704" s="196"/>
      <c r="I704" s="196"/>
      <c r="J704" s="196"/>
      <c r="K704" s="196"/>
      <c r="L704" s="196"/>
      <c r="M704" s="196"/>
      <c r="N704" s="196"/>
      <c r="O704" s="196"/>
      <c r="P704" s="196"/>
      <c r="Q704" s="196"/>
      <c r="R704" s="196"/>
      <c r="S704" s="196"/>
      <c r="T704" s="196"/>
      <c r="U704" s="196"/>
      <c r="V704" s="196"/>
      <c r="W704" s="196"/>
      <c r="X704" s="196"/>
      <c r="Y704" s="196"/>
      <c r="Z704" s="196"/>
      <c r="AA704" s="196"/>
      <c r="AB704" s="196"/>
      <c r="AC704" s="196"/>
      <c r="AD704" s="196"/>
      <c r="AE704" s="196"/>
      <c r="AF704" s="196"/>
      <c r="AG704" s="196"/>
      <c r="AH704" s="196"/>
      <c r="AI704" s="196"/>
      <c r="AJ704" s="196"/>
      <c r="AK704" s="196"/>
      <c r="AL704" s="196"/>
      <c r="AM704" s="196"/>
      <c r="AN704" s="196"/>
      <c r="AO704" s="196"/>
      <c r="AP704" s="196"/>
      <c r="AQ704" s="196"/>
      <c r="AR704" s="196"/>
      <c r="AS704" s="196"/>
    </row>
    <row r="705" spans="1:45" ht="15.75" customHeight="1">
      <c r="A705" s="196"/>
      <c r="B705" s="196"/>
      <c r="C705" s="88"/>
      <c r="D705" s="88"/>
      <c r="E705" s="88"/>
      <c r="F705" s="196"/>
      <c r="G705" s="196"/>
      <c r="H705" s="196"/>
      <c r="I705" s="196"/>
      <c r="J705" s="196"/>
      <c r="K705" s="196"/>
      <c r="L705" s="196"/>
      <c r="M705" s="196"/>
      <c r="N705" s="196"/>
      <c r="O705" s="196"/>
      <c r="P705" s="196"/>
      <c r="Q705" s="196"/>
      <c r="R705" s="196"/>
      <c r="S705" s="196"/>
      <c r="T705" s="196"/>
      <c r="U705" s="196"/>
      <c r="V705" s="196"/>
      <c r="W705" s="196"/>
      <c r="X705" s="196"/>
      <c r="Y705" s="196"/>
      <c r="Z705" s="196"/>
      <c r="AA705" s="196"/>
      <c r="AB705" s="196"/>
      <c r="AC705" s="196"/>
      <c r="AD705" s="196"/>
      <c r="AE705" s="196"/>
      <c r="AF705" s="196"/>
      <c r="AG705" s="196"/>
      <c r="AH705" s="196"/>
      <c r="AI705" s="196"/>
      <c r="AJ705" s="196"/>
      <c r="AK705" s="196"/>
      <c r="AL705" s="196"/>
      <c r="AM705" s="196"/>
      <c r="AN705" s="196"/>
      <c r="AO705" s="196"/>
      <c r="AP705" s="196"/>
      <c r="AQ705" s="196"/>
      <c r="AR705" s="196"/>
      <c r="AS705" s="196"/>
    </row>
    <row r="706" spans="1:45" ht="15.75" customHeight="1">
      <c r="A706" s="196"/>
      <c r="B706" s="196"/>
      <c r="C706" s="88"/>
      <c r="D706" s="88"/>
      <c r="E706" s="88"/>
      <c r="F706" s="196"/>
      <c r="G706" s="196"/>
      <c r="H706" s="196"/>
      <c r="I706" s="196"/>
      <c r="J706" s="196"/>
      <c r="K706" s="196"/>
      <c r="L706" s="196"/>
      <c r="M706" s="196"/>
      <c r="N706" s="196"/>
      <c r="O706" s="196"/>
      <c r="P706" s="196"/>
      <c r="Q706" s="196"/>
      <c r="R706" s="196"/>
      <c r="S706" s="196"/>
      <c r="T706" s="196"/>
      <c r="U706" s="196"/>
      <c r="V706" s="196"/>
      <c r="W706" s="196"/>
      <c r="X706" s="196"/>
      <c r="Y706" s="196"/>
      <c r="Z706" s="196"/>
      <c r="AA706" s="196"/>
      <c r="AB706" s="196"/>
      <c r="AC706" s="196"/>
      <c r="AD706" s="196"/>
      <c r="AE706" s="196"/>
      <c r="AF706" s="196"/>
      <c r="AG706" s="196"/>
      <c r="AH706" s="196"/>
      <c r="AI706" s="196"/>
      <c r="AJ706" s="196"/>
      <c r="AK706" s="196"/>
      <c r="AL706" s="196"/>
      <c r="AM706" s="196"/>
      <c r="AN706" s="196"/>
      <c r="AO706" s="196"/>
      <c r="AP706" s="196"/>
      <c r="AQ706" s="196"/>
      <c r="AR706" s="196"/>
      <c r="AS706" s="196"/>
    </row>
    <row r="707" spans="1:45" ht="15.75" customHeight="1">
      <c r="A707" s="196"/>
      <c r="B707" s="196"/>
      <c r="C707" s="88"/>
      <c r="D707" s="88"/>
      <c r="E707" s="88"/>
      <c r="F707" s="196"/>
      <c r="G707" s="196"/>
      <c r="H707" s="196"/>
      <c r="I707" s="196"/>
      <c r="J707" s="196"/>
      <c r="K707" s="196"/>
      <c r="L707" s="196"/>
      <c r="M707" s="196"/>
      <c r="N707" s="196"/>
      <c r="O707" s="196"/>
      <c r="P707" s="196"/>
      <c r="Q707" s="196"/>
      <c r="R707" s="196"/>
      <c r="S707" s="196"/>
      <c r="T707" s="196"/>
      <c r="U707" s="196"/>
      <c r="V707" s="196"/>
      <c r="W707" s="196"/>
      <c r="X707" s="196"/>
      <c r="Y707" s="196"/>
      <c r="Z707" s="196"/>
      <c r="AA707" s="196"/>
      <c r="AB707" s="196"/>
      <c r="AC707" s="196"/>
      <c r="AD707" s="196"/>
      <c r="AE707" s="196"/>
      <c r="AF707" s="196"/>
      <c r="AG707" s="196"/>
      <c r="AH707" s="196"/>
      <c r="AI707" s="196"/>
      <c r="AJ707" s="196"/>
      <c r="AK707" s="196"/>
      <c r="AL707" s="196"/>
      <c r="AM707" s="196"/>
      <c r="AN707" s="196"/>
      <c r="AO707" s="196"/>
      <c r="AP707" s="196"/>
      <c r="AQ707" s="196"/>
      <c r="AR707" s="196"/>
      <c r="AS707" s="196"/>
    </row>
    <row r="708" spans="1:45" ht="15.75" customHeight="1">
      <c r="A708" s="196"/>
      <c r="B708" s="196"/>
      <c r="C708" s="88"/>
      <c r="D708" s="88"/>
      <c r="E708" s="88"/>
      <c r="F708" s="196"/>
      <c r="G708" s="196"/>
      <c r="H708" s="196"/>
      <c r="I708" s="196"/>
      <c r="J708" s="196"/>
      <c r="K708" s="196"/>
      <c r="L708" s="196"/>
      <c r="M708" s="196"/>
      <c r="N708" s="196"/>
      <c r="O708" s="196"/>
      <c r="P708" s="196"/>
      <c r="Q708" s="196"/>
      <c r="R708" s="196"/>
      <c r="S708" s="196"/>
      <c r="T708" s="196"/>
      <c r="U708" s="196"/>
      <c r="V708" s="196"/>
      <c r="W708" s="196"/>
      <c r="X708" s="196"/>
      <c r="Y708" s="196"/>
      <c r="Z708" s="196"/>
      <c r="AA708" s="196"/>
      <c r="AB708" s="196"/>
      <c r="AC708" s="196"/>
      <c r="AD708" s="196"/>
      <c r="AE708" s="196"/>
      <c r="AF708" s="196"/>
      <c r="AG708" s="196"/>
      <c r="AH708" s="196"/>
      <c r="AI708" s="196"/>
      <c r="AJ708" s="196"/>
      <c r="AK708" s="196"/>
      <c r="AL708" s="196"/>
      <c r="AM708" s="196"/>
      <c r="AN708" s="196"/>
      <c r="AO708" s="196"/>
      <c r="AP708" s="196"/>
      <c r="AQ708" s="196"/>
      <c r="AR708" s="196"/>
      <c r="AS708" s="196"/>
    </row>
    <row r="709" spans="1:45" ht="15.75" customHeight="1">
      <c r="A709" s="196"/>
      <c r="B709" s="196"/>
      <c r="C709" s="88"/>
      <c r="D709" s="88"/>
      <c r="E709" s="88"/>
      <c r="F709" s="196"/>
      <c r="G709" s="196"/>
      <c r="H709" s="196"/>
      <c r="I709" s="196"/>
      <c r="J709" s="196"/>
      <c r="K709" s="196"/>
      <c r="L709" s="196"/>
      <c r="M709" s="196"/>
      <c r="N709" s="196"/>
      <c r="O709" s="196"/>
      <c r="P709" s="196"/>
      <c r="Q709" s="196"/>
      <c r="R709" s="196"/>
      <c r="S709" s="196"/>
      <c r="T709" s="196"/>
      <c r="U709" s="196"/>
      <c r="V709" s="196"/>
      <c r="W709" s="196"/>
      <c r="X709" s="196"/>
      <c r="Y709" s="196"/>
      <c r="Z709" s="196"/>
      <c r="AA709" s="196"/>
      <c r="AB709" s="196"/>
      <c r="AC709" s="196"/>
      <c r="AD709" s="196"/>
      <c r="AE709" s="196"/>
      <c r="AF709" s="196"/>
      <c r="AG709" s="196"/>
      <c r="AH709" s="196"/>
      <c r="AI709" s="196"/>
      <c r="AJ709" s="196"/>
      <c r="AK709" s="196"/>
      <c r="AL709" s="196"/>
      <c r="AM709" s="196"/>
      <c r="AN709" s="196"/>
      <c r="AO709" s="196"/>
      <c r="AP709" s="196"/>
      <c r="AQ709" s="196"/>
      <c r="AR709" s="196"/>
      <c r="AS709" s="196"/>
    </row>
    <row r="710" spans="1:45" ht="15.75" customHeight="1">
      <c r="A710" s="196"/>
      <c r="B710" s="196"/>
      <c r="C710" s="88"/>
      <c r="D710" s="88"/>
      <c r="E710" s="88"/>
      <c r="F710" s="196"/>
      <c r="G710" s="196"/>
      <c r="H710" s="196"/>
      <c r="I710" s="196"/>
      <c r="J710" s="196"/>
      <c r="K710" s="196"/>
      <c r="L710" s="196"/>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c r="AQ710" s="196"/>
      <c r="AR710" s="196"/>
      <c r="AS710" s="196"/>
    </row>
    <row r="711" spans="1:45" ht="15.75" customHeight="1">
      <c r="A711" s="196"/>
      <c r="B711" s="196"/>
      <c r="C711" s="88"/>
      <c r="D711" s="88"/>
      <c r="E711" s="88"/>
      <c r="F711" s="196"/>
      <c r="G711" s="196"/>
      <c r="H711" s="196"/>
      <c r="I711" s="196"/>
      <c r="J711" s="196"/>
      <c r="K711" s="196"/>
      <c r="L711" s="196"/>
      <c r="M711" s="196"/>
      <c r="N711" s="196"/>
      <c r="O711" s="196"/>
      <c r="P711" s="196"/>
      <c r="Q711" s="196"/>
      <c r="R711" s="196"/>
      <c r="S711" s="196"/>
      <c r="T711" s="196"/>
      <c r="U711" s="196"/>
      <c r="V711" s="196"/>
      <c r="W711" s="196"/>
      <c r="X711" s="196"/>
      <c r="Y711" s="196"/>
      <c r="Z711" s="196"/>
      <c r="AA711" s="196"/>
      <c r="AB711" s="196"/>
      <c r="AC711" s="196"/>
      <c r="AD711" s="196"/>
      <c r="AE711" s="196"/>
      <c r="AF711" s="196"/>
      <c r="AG711" s="196"/>
      <c r="AH711" s="196"/>
      <c r="AI711" s="196"/>
      <c r="AJ711" s="196"/>
      <c r="AK711" s="196"/>
      <c r="AL711" s="196"/>
      <c r="AM711" s="196"/>
      <c r="AN711" s="196"/>
      <c r="AO711" s="196"/>
      <c r="AP711" s="196"/>
      <c r="AQ711" s="196"/>
      <c r="AR711" s="196"/>
      <c r="AS711" s="196"/>
    </row>
    <row r="712" spans="1:45" ht="15.75" customHeight="1">
      <c r="A712" s="196"/>
      <c r="B712" s="196"/>
      <c r="C712" s="88"/>
      <c r="D712" s="88"/>
      <c r="E712" s="88"/>
      <c r="F712" s="196"/>
      <c r="G712" s="196"/>
      <c r="H712" s="196"/>
      <c r="I712" s="196"/>
      <c r="J712" s="196"/>
      <c r="K712" s="196"/>
      <c r="L712" s="196"/>
      <c r="M712" s="196"/>
      <c r="N712" s="196"/>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row>
    <row r="713" spans="1:45" ht="15.75" customHeight="1">
      <c r="A713" s="196"/>
      <c r="B713" s="196"/>
      <c r="C713" s="88"/>
      <c r="D713" s="88"/>
      <c r="E713" s="88"/>
      <c r="F713" s="196"/>
      <c r="G713" s="196"/>
      <c r="H713" s="196"/>
      <c r="I713" s="196"/>
      <c r="J713" s="196"/>
      <c r="K713" s="196"/>
      <c r="L713" s="196"/>
      <c r="M713" s="196"/>
      <c r="N713" s="196"/>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row>
    <row r="714" spans="1:45" ht="15.75" customHeight="1">
      <c r="A714" s="196"/>
      <c r="B714" s="196"/>
      <c r="C714" s="88"/>
      <c r="D714" s="88"/>
      <c r="E714" s="88"/>
      <c r="F714" s="196"/>
      <c r="G714" s="196"/>
      <c r="H714" s="196"/>
      <c r="I714" s="196"/>
      <c r="J714" s="196"/>
      <c r="K714" s="196"/>
      <c r="L714" s="196"/>
      <c r="M714" s="196"/>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row>
    <row r="715" spans="1:45" ht="15.75" customHeight="1">
      <c r="A715" s="196"/>
      <c r="B715" s="196"/>
      <c r="C715" s="88"/>
      <c r="D715" s="88"/>
      <c r="E715" s="88"/>
      <c r="F715" s="196"/>
      <c r="G715" s="196"/>
      <c r="H715" s="196"/>
      <c r="I715" s="196"/>
      <c r="J715" s="196"/>
      <c r="K715" s="196"/>
      <c r="L715" s="196"/>
      <c r="M715" s="196"/>
      <c r="N715" s="196"/>
      <c r="O715" s="196"/>
      <c r="P715" s="196"/>
      <c r="Q715" s="196"/>
      <c r="R715" s="196"/>
      <c r="S715" s="196"/>
      <c r="T715" s="196"/>
      <c r="U715" s="196"/>
      <c r="V715" s="196"/>
      <c r="W715" s="196"/>
      <c r="X715" s="196"/>
      <c r="Y715" s="196"/>
      <c r="Z715" s="196"/>
      <c r="AA715" s="196"/>
      <c r="AB715" s="196"/>
      <c r="AC715" s="196"/>
      <c r="AD715" s="196"/>
      <c r="AE715" s="196"/>
      <c r="AF715" s="196"/>
      <c r="AG715" s="196"/>
      <c r="AH715" s="196"/>
      <c r="AI715" s="196"/>
      <c r="AJ715" s="196"/>
      <c r="AK715" s="196"/>
      <c r="AL715" s="196"/>
      <c r="AM715" s="196"/>
      <c r="AN715" s="196"/>
      <c r="AO715" s="196"/>
      <c r="AP715" s="196"/>
      <c r="AQ715" s="196"/>
      <c r="AR715" s="196"/>
      <c r="AS715" s="196"/>
    </row>
    <row r="716" spans="1:45" ht="15.75" customHeight="1">
      <c r="A716" s="196"/>
      <c r="B716" s="196"/>
      <c r="C716" s="88"/>
      <c r="D716" s="88"/>
      <c r="E716" s="88"/>
      <c r="F716" s="196"/>
      <c r="G716" s="196"/>
      <c r="H716" s="196"/>
      <c r="I716" s="196"/>
      <c r="J716" s="196"/>
      <c r="K716" s="196"/>
      <c r="L716" s="196"/>
      <c r="M716" s="196"/>
      <c r="N716" s="196"/>
      <c r="O716" s="196"/>
      <c r="P716" s="196"/>
      <c r="Q716" s="196"/>
      <c r="R716" s="196"/>
      <c r="S716" s="196"/>
      <c r="T716" s="196"/>
      <c r="U716" s="196"/>
      <c r="V716" s="196"/>
      <c r="W716" s="196"/>
      <c r="X716" s="196"/>
      <c r="Y716" s="196"/>
      <c r="Z716" s="196"/>
      <c r="AA716" s="196"/>
      <c r="AB716" s="196"/>
      <c r="AC716" s="196"/>
      <c r="AD716" s="196"/>
      <c r="AE716" s="196"/>
      <c r="AF716" s="196"/>
      <c r="AG716" s="196"/>
      <c r="AH716" s="196"/>
      <c r="AI716" s="196"/>
      <c r="AJ716" s="196"/>
      <c r="AK716" s="196"/>
      <c r="AL716" s="196"/>
      <c r="AM716" s="196"/>
      <c r="AN716" s="196"/>
      <c r="AO716" s="196"/>
      <c r="AP716" s="196"/>
      <c r="AQ716" s="196"/>
      <c r="AR716" s="196"/>
      <c r="AS716" s="196"/>
    </row>
    <row r="717" spans="1:45" ht="15.75" customHeight="1">
      <c r="A717" s="196"/>
      <c r="B717" s="196"/>
      <c r="C717" s="88"/>
      <c r="D717" s="88"/>
      <c r="E717" s="88"/>
      <c r="F717" s="196"/>
      <c r="G717" s="196"/>
      <c r="H717" s="196"/>
      <c r="I717" s="196"/>
      <c r="J717" s="196"/>
      <c r="K717" s="196"/>
      <c r="L717" s="196"/>
      <c r="M717" s="196"/>
      <c r="N717" s="196"/>
      <c r="O717" s="196"/>
      <c r="P717" s="196"/>
      <c r="Q717" s="196"/>
      <c r="R717" s="196"/>
      <c r="S717" s="196"/>
      <c r="T717" s="196"/>
      <c r="U717" s="196"/>
      <c r="V717" s="196"/>
      <c r="W717" s="196"/>
      <c r="X717" s="196"/>
      <c r="Y717" s="196"/>
      <c r="Z717" s="196"/>
      <c r="AA717" s="196"/>
      <c r="AB717" s="196"/>
      <c r="AC717" s="196"/>
      <c r="AD717" s="196"/>
      <c r="AE717" s="196"/>
      <c r="AF717" s="196"/>
      <c r="AG717" s="196"/>
      <c r="AH717" s="196"/>
      <c r="AI717" s="196"/>
      <c r="AJ717" s="196"/>
      <c r="AK717" s="196"/>
      <c r="AL717" s="196"/>
      <c r="AM717" s="196"/>
      <c r="AN717" s="196"/>
      <c r="AO717" s="196"/>
      <c r="AP717" s="196"/>
      <c r="AQ717" s="196"/>
      <c r="AR717" s="196"/>
      <c r="AS717" s="196"/>
    </row>
    <row r="718" spans="1:45" ht="15.75" customHeight="1">
      <c r="A718" s="196"/>
      <c r="B718" s="196"/>
      <c r="C718" s="88"/>
      <c r="D718" s="88"/>
      <c r="E718" s="88"/>
      <c r="F718" s="196"/>
      <c r="G718" s="196"/>
      <c r="H718" s="196"/>
      <c r="I718" s="196"/>
      <c r="J718" s="196"/>
      <c r="K718" s="196"/>
      <c r="L718" s="196"/>
      <c r="M718" s="196"/>
      <c r="N718" s="196"/>
      <c r="O718" s="196"/>
      <c r="P718" s="196"/>
      <c r="Q718" s="196"/>
      <c r="R718" s="196"/>
      <c r="S718" s="196"/>
      <c r="T718" s="196"/>
      <c r="U718" s="196"/>
      <c r="V718" s="196"/>
      <c r="W718" s="196"/>
      <c r="X718" s="196"/>
      <c r="Y718" s="196"/>
      <c r="Z718" s="196"/>
      <c r="AA718" s="196"/>
      <c r="AB718" s="196"/>
      <c r="AC718" s="196"/>
      <c r="AD718" s="196"/>
      <c r="AE718" s="196"/>
      <c r="AF718" s="196"/>
      <c r="AG718" s="196"/>
      <c r="AH718" s="196"/>
      <c r="AI718" s="196"/>
      <c r="AJ718" s="196"/>
      <c r="AK718" s="196"/>
      <c r="AL718" s="196"/>
      <c r="AM718" s="196"/>
      <c r="AN718" s="196"/>
      <c r="AO718" s="196"/>
      <c r="AP718" s="196"/>
      <c r="AQ718" s="196"/>
      <c r="AR718" s="196"/>
      <c r="AS718" s="196"/>
    </row>
    <row r="719" spans="1:45" ht="15.75" customHeight="1">
      <c r="A719" s="196"/>
      <c r="B719" s="196"/>
      <c r="C719" s="88"/>
      <c r="D719" s="88"/>
      <c r="E719" s="88"/>
      <c r="F719" s="196"/>
      <c r="G719" s="196"/>
      <c r="H719" s="196"/>
      <c r="I719" s="196"/>
      <c r="J719" s="196"/>
      <c r="K719" s="196"/>
      <c r="L719" s="196"/>
      <c r="M719" s="196"/>
      <c r="N719" s="196"/>
      <c r="O719" s="196"/>
      <c r="P719" s="196"/>
      <c r="Q719" s="196"/>
      <c r="R719" s="196"/>
      <c r="S719" s="196"/>
      <c r="T719" s="196"/>
      <c r="U719" s="196"/>
      <c r="V719" s="196"/>
      <c r="W719" s="196"/>
      <c r="X719" s="196"/>
      <c r="Y719" s="196"/>
      <c r="Z719" s="196"/>
      <c r="AA719" s="196"/>
      <c r="AB719" s="196"/>
      <c r="AC719" s="196"/>
      <c r="AD719" s="196"/>
      <c r="AE719" s="196"/>
      <c r="AF719" s="196"/>
      <c r="AG719" s="196"/>
      <c r="AH719" s="196"/>
      <c r="AI719" s="196"/>
      <c r="AJ719" s="196"/>
      <c r="AK719" s="196"/>
      <c r="AL719" s="196"/>
      <c r="AM719" s="196"/>
      <c r="AN719" s="196"/>
      <c r="AO719" s="196"/>
      <c r="AP719" s="196"/>
      <c r="AQ719" s="196"/>
      <c r="AR719" s="196"/>
      <c r="AS719" s="196"/>
    </row>
    <row r="720" spans="1:45" ht="15.75" customHeight="1">
      <c r="A720" s="196"/>
      <c r="B720" s="196"/>
      <c r="C720" s="88"/>
      <c r="D720" s="88"/>
      <c r="E720" s="88"/>
      <c r="F720" s="196"/>
      <c r="G720" s="196"/>
      <c r="H720" s="196"/>
      <c r="I720" s="196"/>
      <c r="J720" s="196"/>
      <c r="K720" s="196"/>
      <c r="L720" s="196"/>
      <c r="M720" s="196"/>
      <c r="N720" s="196"/>
      <c r="O720" s="196"/>
      <c r="P720" s="196"/>
      <c r="Q720" s="196"/>
      <c r="R720" s="196"/>
      <c r="S720" s="196"/>
      <c r="T720" s="196"/>
      <c r="U720" s="196"/>
      <c r="V720" s="196"/>
      <c r="W720" s="196"/>
      <c r="X720" s="196"/>
      <c r="Y720" s="196"/>
      <c r="Z720" s="196"/>
      <c r="AA720" s="196"/>
      <c r="AB720" s="196"/>
      <c r="AC720" s="196"/>
      <c r="AD720" s="196"/>
      <c r="AE720" s="196"/>
      <c r="AF720" s="196"/>
      <c r="AG720" s="196"/>
      <c r="AH720" s="196"/>
      <c r="AI720" s="196"/>
      <c r="AJ720" s="196"/>
      <c r="AK720" s="196"/>
      <c r="AL720" s="196"/>
      <c r="AM720" s="196"/>
      <c r="AN720" s="196"/>
      <c r="AO720" s="196"/>
      <c r="AP720" s="196"/>
      <c r="AQ720" s="196"/>
      <c r="AR720" s="196"/>
      <c r="AS720" s="196"/>
    </row>
    <row r="721" spans="1:45" ht="15.75" customHeight="1">
      <c r="A721" s="196"/>
      <c r="B721" s="196"/>
      <c r="C721" s="88"/>
      <c r="D721" s="88"/>
      <c r="E721" s="88"/>
      <c r="F721" s="196"/>
      <c r="G721" s="196"/>
      <c r="H721" s="196"/>
      <c r="I721" s="196"/>
      <c r="J721" s="196"/>
      <c r="K721" s="196"/>
      <c r="L721" s="196"/>
      <c r="M721" s="196"/>
      <c r="N721" s="196"/>
      <c r="O721" s="196"/>
      <c r="P721" s="196"/>
      <c r="Q721" s="196"/>
      <c r="R721" s="196"/>
      <c r="S721" s="196"/>
      <c r="T721" s="196"/>
      <c r="U721" s="196"/>
      <c r="V721" s="196"/>
      <c r="W721" s="196"/>
      <c r="X721" s="196"/>
      <c r="Y721" s="196"/>
      <c r="Z721" s="196"/>
      <c r="AA721" s="196"/>
      <c r="AB721" s="196"/>
      <c r="AC721" s="196"/>
      <c r="AD721" s="196"/>
      <c r="AE721" s="196"/>
      <c r="AF721" s="196"/>
      <c r="AG721" s="196"/>
      <c r="AH721" s="196"/>
      <c r="AI721" s="196"/>
      <c r="AJ721" s="196"/>
      <c r="AK721" s="196"/>
      <c r="AL721" s="196"/>
      <c r="AM721" s="196"/>
      <c r="AN721" s="196"/>
      <c r="AO721" s="196"/>
      <c r="AP721" s="196"/>
      <c r="AQ721" s="196"/>
      <c r="AR721" s="196"/>
      <c r="AS721" s="196"/>
    </row>
    <row r="722" spans="1:45" ht="15.75" customHeight="1">
      <c r="A722" s="196"/>
      <c r="B722" s="196"/>
      <c r="C722" s="88"/>
      <c r="D722" s="88"/>
      <c r="E722" s="88"/>
      <c r="F722" s="196"/>
      <c r="G722" s="196"/>
      <c r="H722" s="196"/>
      <c r="I722" s="196"/>
      <c r="J722" s="196"/>
      <c r="K722" s="196"/>
      <c r="L722" s="196"/>
      <c r="M722" s="196"/>
      <c r="N722" s="196"/>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row>
    <row r="723" spans="1:45" ht="15.75" customHeight="1">
      <c r="A723" s="196"/>
      <c r="B723" s="196"/>
      <c r="C723" s="88"/>
      <c r="D723" s="88"/>
      <c r="E723" s="88"/>
      <c r="F723" s="196"/>
      <c r="G723" s="196"/>
      <c r="H723" s="196"/>
      <c r="I723" s="196"/>
      <c r="J723" s="196"/>
      <c r="K723" s="196"/>
      <c r="L723" s="196"/>
      <c r="M723" s="196"/>
      <c r="N723" s="196"/>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row>
    <row r="724" spans="1:45" ht="15.75" customHeight="1">
      <c r="A724" s="196"/>
      <c r="B724" s="196"/>
      <c r="C724" s="88"/>
      <c r="D724" s="88"/>
      <c r="E724" s="88"/>
      <c r="F724" s="196"/>
      <c r="G724" s="196"/>
      <c r="H724" s="196"/>
      <c r="I724" s="196"/>
      <c r="J724" s="196"/>
      <c r="K724" s="196"/>
      <c r="L724" s="196"/>
      <c r="M724" s="196"/>
      <c r="N724" s="196"/>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row>
    <row r="725" spans="1:45" ht="15.75" customHeight="1">
      <c r="A725" s="196"/>
      <c r="B725" s="196"/>
      <c r="C725" s="88"/>
      <c r="D725" s="88"/>
      <c r="E725" s="88"/>
      <c r="F725" s="196"/>
      <c r="G725" s="196"/>
      <c r="H725" s="196"/>
      <c r="I725" s="196"/>
      <c r="J725" s="196"/>
      <c r="K725" s="196"/>
      <c r="L725" s="196"/>
      <c r="M725" s="196"/>
      <c r="N725" s="196"/>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row>
    <row r="726" spans="1:45" ht="15.75" customHeight="1">
      <c r="A726" s="196"/>
      <c r="B726" s="196"/>
      <c r="C726" s="88"/>
      <c r="D726" s="88"/>
      <c r="E726" s="88"/>
      <c r="F726" s="196"/>
      <c r="G726" s="196"/>
      <c r="H726" s="196"/>
      <c r="I726" s="196"/>
      <c r="J726" s="196"/>
      <c r="K726" s="196"/>
      <c r="L726" s="196"/>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c r="AQ726" s="196"/>
      <c r="AR726" s="196"/>
      <c r="AS726" s="196"/>
    </row>
    <row r="727" spans="1:45" ht="15.75" customHeight="1">
      <c r="A727" s="196"/>
      <c r="B727" s="196"/>
      <c r="C727" s="88"/>
      <c r="D727" s="88"/>
      <c r="E727" s="88"/>
      <c r="F727" s="196"/>
      <c r="G727" s="196"/>
      <c r="H727" s="196"/>
      <c r="I727" s="196"/>
      <c r="J727" s="196"/>
      <c r="K727" s="196"/>
      <c r="L727" s="196"/>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row>
    <row r="728" spans="1:45" ht="15.75" customHeight="1">
      <c r="A728" s="196"/>
      <c r="B728" s="196"/>
      <c r="C728" s="88"/>
      <c r="D728" s="88"/>
      <c r="E728" s="88"/>
      <c r="F728" s="196"/>
      <c r="G728" s="196"/>
      <c r="H728" s="196"/>
      <c r="I728" s="196"/>
      <c r="J728" s="196"/>
      <c r="K728" s="196"/>
      <c r="L728" s="196"/>
      <c r="M728" s="196"/>
      <c r="N728" s="196"/>
      <c r="O728" s="196"/>
      <c r="P728" s="196"/>
      <c r="Q728" s="196"/>
      <c r="R728" s="196"/>
      <c r="S728" s="196"/>
      <c r="T728" s="196"/>
      <c r="U728" s="196"/>
      <c r="V728" s="196"/>
      <c r="W728" s="196"/>
      <c r="X728" s="196"/>
      <c r="Y728" s="196"/>
      <c r="Z728" s="196"/>
      <c r="AA728" s="196"/>
      <c r="AB728" s="196"/>
      <c r="AC728" s="196"/>
      <c r="AD728" s="196"/>
      <c r="AE728" s="196"/>
      <c r="AF728" s="196"/>
      <c r="AG728" s="196"/>
      <c r="AH728" s="196"/>
      <c r="AI728" s="196"/>
      <c r="AJ728" s="196"/>
      <c r="AK728" s="196"/>
      <c r="AL728" s="196"/>
      <c r="AM728" s="196"/>
      <c r="AN728" s="196"/>
      <c r="AO728" s="196"/>
      <c r="AP728" s="196"/>
      <c r="AQ728" s="196"/>
      <c r="AR728" s="196"/>
      <c r="AS728" s="196"/>
    </row>
    <row r="729" spans="1:45" ht="15.75" customHeight="1">
      <c r="A729" s="196"/>
      <c r="B729" s="196"/>
      <c r="C729" s="88"/>
      <c r="D729" s="88"/>
      <c r="E729" s="88"/>
      <c r="F729" s="196"/>
      <c r="G729" s="196"/>
      <c r="H729" s="196"/>
      <c r="I729" s="196"/>
      <c r="J729" s="196"/>
      <c r="K729" s="196"/>
      <c r="L729" s="196"/>
      <c r="M729" s="196"/>
      <c r="N729" s="196"/>
      <c r="O729" s="196"/>
      <c r="P729" s="196"/>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c r="AQ729" s="196"/>
      <c r="AR729" s="196"/>
      <c r="AS729" s="196"/>
    </row>
    <row r="730" spans="1:45" ht="15.75" customHeight="1">
      <c r="A730" s="196"/>
      <c r="B730" s="196"/>
      <c r="C730" s="88"/>
      <c r="D730" s="88"/>
      <c r="E730" s="88"/>
      <c r="F730" s="196"/>
      <c r="G730" s="196"/>
      <c r="H730" s="196"/>
      <c r="I730" s="196"/>
      <c r="J730" s="196"/>
      <c r="K730" s="196"/>
      <c r="L730" s="196"/>
      <c r="M730" s="196"/>
      <c r="N730" s="196"/>
      <c r="O730" s="196"/>
      <c r="P730" s="196"/>
      <c r="Q730" s="196"/>
      <c r="R730" s="196"/>
      <c r="S730" s="196"/>
      <c r="T730" s="196"/>
      <c r="U730" s="196"/>
      <c r="V730" s="196"/>
      <c r="W730" s="196"/>
      <c r="X730" s="196"/>
      <c r="Y730" s="196"/>
      <c r="Z730" s="196"/>
      <c r="AA730" s="196"/>
      <c r="AB730" s="196"/>
      <c r="AC730" s="196"/>
      <c r="AD730" s="196"/>
      <c r="AE730" s="196"/>
      <c r="AF730" s="196"/>
      <c r="AG730" s="196"/>
      <c r="AH730" s="196"/>
      <c r="AI730" s="196"/>
      <c r="AJ730" s="196"/>
      <c r="AK730" s="196"/>
      <c r="AL730" s="196"/>
      <c r="AM730" s="196"/>
      <c r="AN730" s="196"/>
      <c r="AO730" s="196"/>
      <c r="AP730" s="196"/>
      <c r="AQ730" s="196"/>
      <c r="AR730" s="196"/>
      <c r="AS730" s="196"/>
    </row>
    <row r="731" spans="1:45" ht="15.75" customHeight="1">
      <c r="A731" s="196"/>
      <c r="B731" s="196"/>
      <c r="C731" s="88"/>
      <c r="D731" s="88"/>
      <c r="E731" s="88"/>
      <c r="F731" s="196"/>
      <c r="G731" s="196"/>
      <c r="H731" s="196"/>
      <c r="I731" s="196"/>
      <c r="J731" s="196"/>
      <c r="K731" s="196"/>
      <c r="L731" s="196"/>
      <c r="M731" s="196"/>
      <c r="N731" s="196"/>
      <c r="O731" s="196"/>
      <c r="P731" s="196"/>
      <c r="Q731" s="196"/>
      <c r="R731" s="196"/>
      <c r="S731" s="196"/>
      <c r="T731" s="196"/>
      <c r="U731" s="196"/>
      <c r="V731" s="196"/>
      <c r="W731" s="196"/>
      <c r="X731" s="196"/>
      <c r="Y731" s="196"/>
      <c r="Z731" s="196"/>
      <c r="AA731" s="196"/>
      <c r="AB731" s="196"/>
      <c r="AC731" s="196"/>
      <c r="AD731" s="196"/>
      <c r="AE731" s="196"/>
      <c r="AF731" s="196"/>
      <c r="AG731" s="196"/>
      <c r="AH731" s="196"/>
      <c r="AI731" s="196"/>
      <c r="AJ731" s="196"/>
      <c r="AK731" s="196"/>
      <c r="AL731" s="196"/>
      <c r="AM731" s="196"/>
      <c r="AN731" s="196"/>
      <c r="AO731" s="196"/>
      <c r="AP731" s="196"/>
      <c r="AQ731" s="196"/>
      <c r="AR731" s="196"/>
      <c r="AS731" s="196"/>
    </row>
    <row r="732" spans="1:45" ht="15.75" customHeight="1">
      <c r="A732" s="196"/>
      <c r="B732" s="196"/>
      <c r="C732" s="88"/>
      <c r="D732" s="88"/>
      <c r="E732" s="88"/>
      <c r="F732" s="196"/>
      <c r="G732" s="196"/>
      <c r="H732" s="196"/>
      <c r="I732" s="196"/>
      <c r="J732" s="196"/>
      <c r="K732" s="196"/>
      <c r="L732" s="196"/>
      <c r="M732" s="196"/>
      <c r="N732" s="196"/>
      <c r="O732" s="196"/>
      <c r="P732" s="196"/>
      <c r="Q732" s="196"/>
      <c r="R732" s="196"/>
      <c r="S732" s="196"/>
      <c r="T732" s="196"/>
      <c r="U732" s="196"/>
      <c r="V732" s="196"/>
      <c r="W732" s="196"/>
      <c r="X732" s="196"/>
      <c r="Y732" s="196"/>
      <c r="Z732" s="196"/>
      <c r="AA732" s="196"/>
      <c r="AB732" s="196"/>
      <c r="AC732" s="196"/>
      <c r="AD732" s="196"/>
      <c r="AE732" s="196"/>
      <c r="AF732" s="196"/>
      <c r="AG732" s="196"/>
      <c r="AH732" s="196"/>
      <c r="AI732" s="196"/>
      <c r="AJ732" s="196"/>
      <c r="AK732" s="196"/>
      <c r="AL732" s="196"/>
      <c r="AM732" s="196"/>
      <c r="AN732" s="196"/>
      <c r="AO732" s="196"/>
      <c r="AP732" s="196"/>
      <c r="AQ732" s="196"/>
      <c r="AR732" s="196"/>
      <c r="AS732" s="196"/>
    </row>
    <row r="733" spans="1:45" ht="15.75" customHeight="1">
      <c r="A733" s="196"/>
      <c r="B733" s="196"/>
      <c r="C733" s="88"/>
      <c r="D733" s="88"/>
      <c r="E733" s="88"/>
      <c r="F733" s="196"/>
      <c r="G733" s="196"/>
      <c r="H733" s="196"/>
      <c r="I733" s="196"/>
      <c r="J733" s="196"/>
      <c r="K733" s="196"/>
      <c r="L733" s="196"/>
      <c r="M733" s="196"/>
      <c r="N733" s="196"/>
      <c r="O733" s="196"/>
      <c r="P733" s="196"/>
      <c r="Q733" s="196"/>
      <c r="R733" s="196"/>
      <c r="S733" s="196"/>
      <c r="T733" s="196"/>
      <c r="U733" s="196"/>
      <c r="V733" s="196"/>
      <c r="W733" s="196"/>
      <c r="X733" s="196"/>
      <c r="Y733" s="196"/>
      <c r="Z733" s="196"/>
      <c r="AA733" s="196"/>
      <c r="AB733" s="196"/>
      <c r="AC733" s="196"/>
      <c r="AD733" s="196"/>
      <c r="AE733" s="196"/>
      <c r="AF733" s="196"/>
      <c r="AG733" s="196"/>
      <c r="AH733" s="196"/>
      <c r="AI733" s="196"/>
      <c r="AJ733" s="196"/>
      <c r="AK733" s="196"/>
      <c r="AL733" s="196"/>
      <c r="AM733" s="196"/>
      <c r="AN733" s="196"/>
      <c r="AO733" s="196"/>
      <c r="AP733" s="196"/>
      <c r="AQ733" s="196"/>
      <c r="AR733" s="196"/>
      <c r="AS733" s="196"/>
    </row>
    <row r="734" spans="1:45" ht="15.75" customHeight="1">
      <c r="A734" s="196"/>
      <c r="B734" s="196"/>
      <c r="C734" s="88"/>
      <c r="D734" s="88"/>
      <c r="E734" s="88"/>
      <c r="F734" s="196"/>
      <c r="G734" s="196"/>
      <c r="H734" s="196"/>
      <c r="I734" s="196"/>
      <c r="J734" s="196"/>
      <c r="K734" s="196"/>
      <c r="L734" s="196"/>
      <c r="M734" s="196"/>
      <c r="N734" s="196"/>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row>
    <row r="735" spans="1:45" ht="15.75" customHeight="1">
      <c r="A735" s="196"/>
      <c r="B735" s="196"/>
      <c r="C735" s="88"/>
      <c r="D735" s="88"/>
      <c r="E735" s="88"/>
      <c r="F735" s="196"/>
      <c r="G735" s="196"/>
      <c r="H735" s="196"/>
      <c r="I735" s="196"/>
      <c r="J735" s="196"/>
      <c r="K735" s="196"/>
      <c r="L735" s="196"/>
      <c r="M735" s="196"/>
      <c r="N735" s="196"/>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row>
    <row r="736" spans="1:45" ht="15.75" customHeight="1">
      <c r="A736" s="196"/>
      <c r="B736" s="196"/>
      <c r="C736" s="88"/>
      <c r="D736" s="88"/>
      <c r="E736" s="88"/>
      <c r="F736" s="196"/>
      <c r="G736" s="196"/>
      <c r="H736" s="196"/>
      <c r="I736" s="196"/>
      <c r="J736" s="196"/>
      <c r="K736" s="196"/>
      <c r="L736" s="196"/>
      <c r="M736" s="196"/>
      <c r="N736" s="196"/>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row>
    <row r="737" spans="1:45" ht="15.75" customHeight="1">
      <c r="A737" s="196"/>
      <c r="B737" s="196"/>
      <c r="C737" s="88"/>
      <c r="D737" s="88"/>
      <c r="E737" s="88"/>
      <c r="F737" s="196"/>
      <c r="G737" s="196"/>
      <c r="H737" s="196"/>
      <c r="I737" s="196"/>
      <c r="J737" s="196"/>
      <c r="K737" s="196"/>
      <c r="L737" s="196"/>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row>
    <row r="738" spans="1:45" ht="15.75" customHeight="1">
      <c r="A738" s="196"/>
      <c r="B738" s="196"/>
      <c r="C738" s="88"/>
      <c r="D738" s="88"/>
      <c r="E738" s="88"/>
      <c r="F738" s="196"/>
      <c r="G738" s="196"/>
      <c r="H738" s="196"/>
      <c r="I738" s="196"/>
      <c r="J738" s="196"/>
      <c r="K738" s="196"/>
      <c r="L738" s="196"/>
      <c r="M738" s="196"/>
      <c r="N738" s="196"/>
      <c r="O738" s="196"/>
      <c r="P738" s="196"/>
      <c r="Q738" s="196"/>
      <c r="R738" s="196"/>
      <c r="S738" s="196"/>
      <c r="T738" s="196"/>
      <c r="U738" s="196"/>
      <c r="V738" s="196"/>
      <c r="W738" s="196"/>
      <c r="X738" s="196"/>
      <c r="Y738" s="196"/>
      <c r="Z738" s="196"/>
      <c r="AA738" s="196"/>
      <c r="AB738" s="196"/>
      <c r="AC738" s="196"/>
      <c r="AD738" s="196"/>
      <c r="AE738" s="196"/>
      <c r="AF738" s="196"/>
      <c r="AG738" s="196"/>
      <c r="AH738" s="196"/>
      <c r="AI738" s="196"/>
      <c r="AJ738" s="196"/>
      <c r="AK738" s="196"/>
      <c r="AL738" s="196"/>
      <c r="AM738" s="196"/>
      <c r="AN738" s="196"/>
      <c r="AO738" s="196"/>
      <c r="AP738" s="196"/>
      <c r="AQ738" s="196"/>
      <c r="AR738" s="196"/>
      <c r="AS738" s="196"/>
    </row>
    <row r="739" spans="1:45" ht="15.75" customHeight="1">
      <c r="A739" s="196"/>
      <c r="B739" s="196"/>
      <c r="C739" s="88"/>
      <c r="D739" s="88"/>
      <c r="E739" s="88"/>
      <c r="F739" s="196"/>
      <c r="G739" s="196"/>
      <c r="H739" s="196"/>
      <c r="I739" s="196"/>
      <c r="J739" s="196"/>
      <c r="K739" s="196"/>
      <c r="L739" s="196"/>
      <c r="M739" s="196"/>
      <c r="N739" s="196"/>
      <c r="O739" s="196"/>
      <c r="P739" s="196"/>
      <c r="Q739" s="196"/>
      <c r="R739" s="196"/>
      <c r="S739" s="196"/>
      <c r="T739" s="196"/>
      <c r="U739" s="196"/>
      <c r="V739" s="196"/>
      <c r="W739" s="196"/>
      <c r="X739" s="196"/>
      <c r="Y739" s="196"/>
      <c r="Z739" s="196"/>
      <c r="AA739" s="196"/>
      <c r="AB739" s="196"/>
      <c r="AC739" s="196"/>
      <c r="AD739" s="196"/>
      <c r="AE739" s="196"/>
      <c r="AF739" s="196"/>
      <c r="AG739" s="196"/>
      <c r="AH739" s="196"/>
      <c r="AI739" s="196"/>
      <c r="AJ739" s="196"/>
      <c r="AK739" s="196"/>
      <c r="AL739" s="196"/>
      <c r="AM739" s="196"/>
      <c r="AN739" s="196"/>
      <c r="AO739" s="196"/>
      <c r="AP739" s="196"/>
      <c r="AQ739" s="196"/>
      <c r="AR739" s="196"/>
      <c r="AS739" s="196"/>
    </row>
    <row r="740" spans="1:45" ht="15.75" customHeight="1">
      <c r="A740" s="196"/>
      <c r="B740" s="196"/>
      <c r="C740" s="88"/>
      <c r="D740" s="88"/>
      <c r="E740" s="88"/>
      <c r="F740" s="196"/>
      <c r="G740" s="196"/>
      <c r="H740" s="196"/>
      <c r="I740" s="196"/>
      <c r="J740" s="196"/>
      <c r="K740" s="196"/>
      <c r="L740" s="196"/>
      <c r="M740" s="196"/>
      <c r="N740" s="196"/>
      <c r="O740" s="196"/>
      <c r="P740" s="196"/>
      <c r="Q740" s="196"/>
      <c r="R740" s="196"/>
      <c r="S740" s="196"/>
      <c r="T740" s="196"/>
      <c r="U740" s="196"/>
      <c r="V740" s="196"/>
      <c r="W740" s="196"/>
      <c r="X740" s="196"/>
      <c r="Y740" s="196"/>
      <c r="Z740" s="196"/>
      <c r="AA740" s="196"/>
      <c r="AB740" s="196"/>
      <c r="AC740" s="196"/>
      <c r="AD740" s="196"/>
      <c r="AE740" s="196"/>
      <c r="AF740" s="196"/>
      <c r="AG740" s="196"/>
      <c r="AH740" s="196"/>
      <c r="AI740" s="196"/>
      <c r="AJ740" s="196"/>
      <c r="AK740" s="196"/>
      <c r="AL740" s="196"/>
      <c r="AM740" s="196"/>
      <c r="AN740" s="196"/>
      <c r="AO740" s="196"/>
      <c r="AP740" s="196"/>
      <c r="AQ740" s="196"/>
      <c r="AR740" s="196"/>
      <c r="AS740" s="196"/>
    </row>
    <row r="741" spans="1:45" ht="15.75" customHeight="1">
      <c r="A741" s="196"/>
      <c r="B741" s="196"/>
      <c r="C741" s="88"/>
      <c r="D741" s="88"/>
      <c r="E741" s="88"/>
      <c r="F741" s="196"/>
      <c r="G741" s="196"/>
      <c r="H741" s="196"/>
      <c r="I741" s="196"/>
      <c r="J741" s="196"/>
      <c r="K741" s="196"/>
      <c r="L741" s="196"/>
      <c r="M741" s="196"/>
      <c r="N741" s="196"/>
      <c r="O741" s="196"/>
      <c r="P741" s="196"/>
      <c r="Q741" s="196"/>
      <c r="R741" s="196"/>
      <c r="S741" s="196"/>
      <c r="T741" s="196"/>
      <c r="U741" s="196"/>
      <c r="V741" s="196"/>
      <c r="W741" s="196"/>
      <c r="X741" s="196"/>
      <c r="Y741" s="196"/>
      <c r="Z741" s="196"/>
      <c r="AA741" s="196"/>
      <c r="AB741" s="196"/>
      <c r="AC741" s="196"/>
      <c r="AD741" s="196"/>
      <c r="AE741" s="196"/>
      <c r="AF741" s="196"/>
      <c r="AG741" s="196"/>
      <c r="AH741" s="196"/>
      <c r="AI741" s="196"/>
      <c r="AJ741" s="196"/>
      <c r="AK741" s="196"/>
      <c r="AL741" s="196"/>
      <c r="AM741" s="196"/>
      <c r="AN741" s="196"/>
      <c r="AO741" s="196"/>
      <c r="AP741" s="196"/>
      <c r="AQ741" s="196"/>
      <c r="AR741" s="196"/>
      <c r="AS741" s="196"/>
    </row>
    <row r="742" spans="1:45" ht="15.75" customHeight="1">
      <c r="A742" s="196"/>
      <c r="B742" s="196"/>
      <c r="C742" s="88"/>
      <c r="D742" s="88"/>
      <c r="E742" s="88"/>
      <c r="F742" s="196"/>
      <c r="G742" s="196"/>
      <c r="H742" s="196"/>
      <c r="I742" s="196"/>
      <c r="J742" s="196"/>
      <c r="K742" s="196"/>
      <c r="L742" s="196"/>
      <c r="M742" s="196"/>
      <c r="N742" s="196"/>
      <c r="O742" s="196"/>
      <c r="P742" s="196"/>
      <c r="Q742" s="196"/>
      <c r="R742" s="196"/>
      <c r="S742" s="196"/>
      <c r="T742" s="196"/>
      <c r="U742" s="196"/>
      <c r="V742" s="196"/>
      <c r="W742" s="196"/>
      <c r="X742" s="196"/>
      <c r="Y742" s="196"/>
      <c r="Z742" s="196"/>
      <c r="AA742" s="196"/>
      <c r="AB742" s="196"/>
      <c r="AC742" s="196"/>
      <c r="AD742" s="196"/>
      <c r="AE742" s="196"/>
      <c r="AF742" s="196"/>
      <c r="AG742" s="196"/>
      <c r="AH742" s="196"/>
      <c r="AI742" s="196"/>
      <c r="AJ742" s="196"/>
      <c r="AK742" s="196"/>
      <c r="AL742" s="196"/>
      <c r="AM742" s="196"/>
      <c r="AN742" s="196"/>
      <c r="AO742" s="196"/>
      <c r="AP742" s="196"/>
      <c r="AQ742" s="196"/>
      <c r="AR742" s="196"/>
      <c r="AS742" s="196"/>
    </row>
    <row r="743" spans="1:45" ht="15.75" customHeight="1">
      <c r="A743" s="196"/>
      <c r="B743" s="196"/>
      <c r="C743" s="88"/>
      <c r="D743" s="88"/>
      <c r="E743" s="88"/>
      <c r="F743" s="196"/>
      <c r="G743" s="196"/>
      <c r="H743" s="196"/>
      <c r="I743" s="196"/>
      <c r="J743" s="196"/>
      <c r="K743" s="196"/>
      <c r="L743" s="196"/>
      <c r="M743" s="196"/>
      <c r="N743" s="196"/>
      <c r="O743" s="196"/>
      <c r="P743" s="196"/>
      <c r="Q743" s="196"/>
      <c r="R743" s="196"/>
      <c r="S743" s="196"/>
      <c r="T743" s="196"/>
      <c r="U743" s="196"/>
      <c r="V743" s="196"/>
      <c r="W743" s="196"/>
      <c r="X743" s="196"/>
      <c r="Y743" s="196"/>
      <c r="Z743" s="196"/>
      <c r="AA743" s="196"/>
      <c r="AB743" s="196"/>
      <c r="AC743" s="196"/>
      <c r="AD743" s="196"/>
      <c r="AE743" s="196"/>
      <c r="AF743" s="196"/>
      <c r="AG743" s="196"/>
      <c r="AH743" s="196"/>
      <c r="AI743" s="196"/>
      <c r="AJ743" s="196"/>
      <c r="AK743" s="196"/>
      <c r="AL743" s="196"/>
      <c r="AM743" s="196"/>
      <c r="AN743" s="196"/>
      <c r="AO743" s="196"/>
      <c r="AP743" s="196"/>
      <c r="AQ743" s="196"/>
      <c r="AR743" s="196"/>
      <c r="AS743" s="196"/>
    </row>
    <row r="744" spans="1:45" ht="15.75" customHeight="1">
      <c r="A744" s="196"/>
      <c r="B744" s="196"/>
      <c r="C744" s="88"/>
      <c r="D744" s="88"/>
      <c r="E744" s="88"/>
      <c r="F744" s="196"/>
      <c r="G744" s="196"/>
      <c r="H744" s="196"/>
      <c r="I744" s="196"/>
      <c r="J744" s="196"/>
      <c r="K744" s="196"/>
      <c r="L744" s="196"/>
      <c r="M744" s="196"/>
      <c r="N744" s="196"/>
      <c r="O744" s="196"/>
      <c r="P744" s="196"/>
      <c r="Q744" s="196"/>
      <c r="R744" s="196"/>
      <c r="S744" s="196"/>
      <c r="T744" s="196"/>
      <c r="U744" s="196"/>
      <c r="V744" s="196"/>
      <c r="W744" s="196"/>
      <c r="X744" s="196"/>
      <c r="Y744" s="196"/>
      <c r="Z744" s="196"/>
      <c r="AA744" s="196"/>
      <c r="AB744" s="196"/>
      <c r="AC744" s="196"/>
      <c r="AD744" s="196"/>
      <c r="AE744" s="196"/>
      <c r="AF744" s="196"/>
      <c r="AG744" s="196"/>
      <c r="AH744" s="196"/>
      <c r="AI744" s="196"/>
      <c r="AJ744" s="196"/>
      <c r="AK744" s="196"/>
      <c r="AL744" s="196"/>
      <c r="AM744" s="196"/>
      <c r="AN744" s="196"/>
      <c r="AO744" s="196"/>
      <c r="AP744" s="196"/>
      <c r="AQ744" s="196"/>
      <c r="AR744" s="196"/>
      <c r="AS744" s="196"/>
    </row>
    <row r="745" spans="1:45" ht="15.75" customHeight="1">
      <c r="A745" s="196"/>
      <c r="B745" s="196"/>
      <c r="C745" s="88"/>
      <c r="D745" s="88"/>
      <c r="E745" s="88"/>
      <c r="F745" s="196"/>
      <c r="G745" s="196"/>
      <c r="H745" s="196"/>
      <c r="I745" s="196"/>
      <c r="J745" s="196"/>
      <c r="K745" s="196"/>
      <c r="L745" s="196"/>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AN745" s="196"/>
      <c r="AO745" s="196"/>
      <c r="AP745" s="196"/>
      <c r="AQ745" s="196"/>
      <c r="AR745" s="196"/>
      <c r="AS745" s="196"/>
    </row>
    <row r="746" spans="1:45" ht="15.75" customHeight="1">
      <c r="A746" s="196"/>
      <c r="B746" s="196"/>
      <c r="C746" s="88"/>
      <c r="D746" s="88"/>
      <c r="E746" s="88"/>
      <c r="F746" s="196"/>
      <c r="G746" s="196"/>
      <c r="H746" s="196"/>
      <c r="I746" s="196"/>
      <c r="J746" s="196"/>
      <c r="K746" s="196"/>
      <c r="L746" s="196"/>
      <c r="M746" s="196"/>
      <c r="N746" s="196"/>
      <c r="O746" s="196"/>
      <c r="P746" s="196"/>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c r="AQ746" s="196"/>
      <c r="AR746" s="196"/>
      <c r="AS746" s="196"/>
    </row>
    <row r="747" spans="1:45" ht="15.75" customHeight="1">
      <c r="A747" s="196"/>
      <c r="B747" s="196"/>
      <c r="C747" s="88"/>
      <c r="D747" s="88"/>
      <c r="E747" s="88"/>
      <c r="F747" s="196"/>
      <c r="G747" s="196"/>
      <c r="H747" s="196"/>
      <c r="I747" s="196"/>
      <c r="J747" s="196"/>
      <c r="K747" s="196"/>
      <c r="L747" s="196"/>
      <c r="M747" s="196"/>
      <c r="N747" s="196"/>
      <c r="O747" s="196"/>
      <c r="P747" s="196"/>
      <c r="Q747" s="196"/>
      <c r="R747" s="196"/>
      <c r="S747" s="196"/>
      <c r="T747" s="196"/>
      <c r="U747" s="196"/>
      <c r="V747" s="196"/>
      <c r="W747" s="196"/>
      <c r="X747" s="196"/>
      <c r="Y747" s="196"/>
      <c r="Z747" s="196"/>
      <c r="AA747" s="196"/>
      <c r="AB747" s="196"/>
      <c r="AC747" s="196"/>
      <c r="AD747" s="196"/>
      <c r="AE747" s="196"/>
      <c r="AF747" s="196"/>
      <c r="AG747" s="196"/>
      <c r="AH747" s="196"/>
      <c r="AI747" s="196"/>
      <c r="AJ747" s="196"/>
      <c r="AK747" s="196"/>
      <c r="AL747" s="196"/>
      <c r="AM747" s="196"/>
      <c r="AN747" s="196"/>
      <c r="AO747" s="196"/>
      <c r="AP747" s="196"/>
      <c r="AQ747" s="196"/>
      <c r="AR747" s="196"/>
      <c r="AS747" s="196"/>
    </row>
    <row r="748" spans="1:45" ht="15.75" customHeight="1">
      <c r="A748" s="196"/>
      <c r="B748" s="196"/>
      <c r="C748" s="88"/>
      <c r="D748" s="88"/>
      <c r="E748" s="88"/>
      <c r="F748" s="196"/>
      <c r="G748" s="196"/>
      <c r="H748" s="196"/>
      <c r="I748" s="196"/>
      <c r="J748" s="196"/>
      <c r="K748" s="196"/>
      <c r="L748" s="196"/>
      <c r="M748" s="196"/>
      <c r="N748" s="196"/>
      <c r="O748" s="196"/>
      <c r="P748" s="196"/>
      <c r="Q748" s="196"/>
      <c r="R748" s="196"/>
      <c r="S748" s="196"/>
      <c r="T748" s="196"/>
      <c r="U748" s="196"/>
      <c r="V748" s="196"/>
      <c r="W748" s="196"/>
      <c r="X748" s="196"/>
      <c r="Y748" s="196"/>
      <c r="Z748" s="196"/>
      <c r="AA748" s="196"/>
      <c r="AB748" s="196"/>
      <c r="AC748" s="196"/>
      <c r="AD748" s="196"/>
      <c r="AE748" s="196"/>
      <c r="AF748" s="196"/>
      <c r="AG748" s="196"/>
      <c r="AH748" s="196"/>
      <c r="AI748" s="196"/>
      <c r="AJ748" s="196"/>
      <c r="AK748" s="196"/>
      <c r="AL748" s="196"/>
      <c r="AM748" s="196"/>
      <c r="AN748" s="196"/>
      <c r="AO748" s="196"/>
      <c r="AP748" s="196"/>
      <c r="AQ748" s="196"/>
      <c r="AR748" s="196"/>
      <c r="AS748" s="196"/>
    </row>
    <row r="749" spans="1:45" ht="15.75" customHeight="1">
      <c r="A749" s="196"/>
      <c r="B749" s="196"/>
      <c r="C749" s="88"/>
      <c r="D749" s="88"/>
      <c r="E749" s="88"/>
      <c r="F749" s="196"/>
      <c r="G749" s="196"/>
      <c r="H749" s="196"/>
      <c r="I749" s="196"/>
      <c r="J749" s="196"/>
      <c r="K749" s="196"/>
      <c r="L749" s="196"/>
      <c r="M749" s="196"/>
      <c r="N749" s="196"/>
      <c r="O749" s="196"/>
      <c r="P749" s="196"/>
      <c r="Q749" s="196"/>
      <c r="R749" s="196"/>
      <c r="S749" s="196"/>
      <c r="T749" s="196"/>
      <c r="U749" s="196"/>
      <c r="V749" s="196"/>
      <c r="W749" s="196"/>
      <c r="X749" s="196"/>
      <c r="Y749" s="196"/>
      <c r="Z749" s="196"/>
      <c r="AA749" s="196"/>
      <c r="AB749" s="196"/>
      <c r="AC749" s="196"/>
      <c r="AD749" s="196"/>
      <c r="AE749" s="196"/>
      <c r="AF749" s="196"/>
      <c r="AG749" s="196"/>
      <c r="AH749" s="196"/>
      <c r="AI749" s="196"/>
      <c r="AJ749" s="196"/>
      <c r="AK749" s="196"/>
      <c r="AL749" s="196"/>
      <c r="AM749" s="196"/>
      <c r="AN749" s="196"/>
      <c r="AO749" s="196"/>
      <c r="AP749" s="196"/>
      <c r="AQ749" s="196"/>
      <c r="AR749" s="196"/>
      <c r="AS749" s="196"/>
    </row>
    <row r="750" spans="1:45" ht="15.75" customHeight="1">
      <c r="A750" s="196"/>
      <c r="B750" s="196"/>
      <c r="C750" s="88"/>
      <c r="D750" s="88"/>
      <c r="E750" s="88"/>
      <c r="F750" s="196"/>
      <c r="G750" s="196"/>
      <c r="H750" s="196"/>
      <c r="I750" s="196"/>
      <c r="J750" s="196"/>
      <c r="K750" s="196"/>
      <c r="L750" s="196"/>
      <c r="M750" s="196"/>
      <c r="N750" s="196"/>
      <c r="O750" s="196"/>
      <c r="P750" s="196"/>
      <c r="Q750" s="196"/>
      <c r="R750" s="196"/>
      <c r="S750" s="196"/>
      <c r="T750" s="196"/>
      <c r="U750" s="196"/>
      <c r="V750" s="196"/>
      <c r="W750" s="196"/>
      <c r="X750" s="196"/>
      <c r="Y750" s="196"/>
      <c r="Z750" s="196"/>
      <c r="AA750" s="196"/>
      <c r="AB750" s="196"/>
      <c r="AC750" s="196"/>
      <c r="AD750" s="196"/>
      <c r="AE750" s="196"/>
      <c r="AF750" s="196"/>
      <c r="AG750" s="196"/>
      <c r="AH750" s="196"/>
      <c r="AI750" s="196"/>
      <c r="AJ750" s="196"/>
      <c r="AK750" s="196"/>
      <c r="AL750" s="196"/>
      <c r="AM750" s="196"/>
      <c r="AN750" s="196"/>
      <c r="AO750" s="196"/>
      <c r="AP750" s="196"/>
      <c r="AQ750" s="196"/>
      <c r="AR750" s="196"/>
      <c r="AS750" s="196"/>
    </row>
    <row r="751" spans="1:45" ht="15.75" customHeight="1">
      <c r="A751" s="196"/>
      <c r="B751" s="196"/>
      <c r="C751" s="88"/>
      <c r="D751" s="88"/>
      <c r="E751" s="88"/>
      <c r="F751" s="196"/>
      <c r="G751" s="196"/>
      <c r="H751" s="196"/>
      <c r="I751" s="196"/>
      <c r="J751" s="196"/>
      <c r="K751" s="196"/>
      <c r="L751" s="196"/>
      <c r="M751" s="196"/>
      <c r="N751" s="196"/>
      <c r="O751" s="196"/>
      <c r="P751" s="196"/>
      <c r="Q751" s="196"/>
      <c r="R751" s="196"/>
      <c r="S751" s="196"/>
      <c r="T751" s="196"/>
      <c r="U751" s="196"/>
      <c r="V751" s="196"/>
      <c r="W751" s="196"/>
      <c r="X751" s="196"/>
      <c r="Y751" s="196"/>
      <c r="Z751" s="196"/>
      <c r="AA751" s="196"/>
      <c r="AB751" s="196"/>
      <c r="AC751" s="196"/>
      <c r="AD751" s="196"/>
      <c r="AE751" s="196"/>
      <c r="AF751" s="196"/>
      <c r="AG751" s="196"/>
      <c r="AH751" s="196"/>
      <c r="AI751" s="196"/>
      <c r="AJ751" s="196"/>
      <c r="AK751" s="196"/>
      <c r="AL751" s="196"/>
      <c r="AM751" s="196"/>
      <c r="AN751" s="196"/>
      <c r="AO751" s="196"/>
      <c r="AP751" s="196"/>
      <c r="AQ751" s="196"/>
      <c r="AR751" s="196"/>
      <c r="AS751" s="196"/>
    </row>
    <row r="752" spans="1:45" ht="15.75" customHeight="1">
      <c r="A752" s="196"/>
      <c r="B752" s="196"/>
      <c r="C752" s="88"/>
      <c r="D752" s="88"/>
      <c r="E752" s="88"/>
      <c r="F752" s="196"/>
      <c r="G752" s="196"/>
      <c r="H752" s="196"/>
      <c r="I752" s="196"/>
      <c r="J752" s="196"/>
      <c r="K752" s="196"/>
      <c r="L752" s="196"/>
      <c r="M752" s="196"/>
      <c r="N752" s="196"/>
      <c r="O752" s="196"/>
      <c r="P752" s="196"/>
      <c r="Q752" s="196"/>
      <c r="R752" s="196"/>
      <c r="S752" s="196"/>
      <c r="T752" s="196"/>
      <c r="U752" s="196"/>
      <c r="V752" s="196"/>
      <c r="W752" s="196"/>
      <c r="X752" s="196"/>
      <c r="Y752" s="196"/>
      <c r="Z752" s="196"/>
      <c r="AA752" s="196"/>
      <c r="AB752" s="196"/>
      <c r="AC752" s="196"/>
      <c r="AD752" s="196"/>
      <c r="AE752" s="196"/>
      <c r="AF752" s="196"/>
      <c r="AG752" s="196"/>
      <c r="AH752" s="196"/>
      <c r="AI752" s="196"/>
      <c r="AJ752" s="196"/>
      <c r="AK752" s="196"/>
      <c r="AL752" s="196"/>
      <c r="AM752" s="196"/>
      <c r="AN752" s="196"/>
      <c r="AO752" s="196"/>
      <c r="AP752" s="196"/>
      <c r="AQ752" s="196"/>
      <c r="AR752" s="196"/>
      <c r="AS752" s="196"/>
    </row>
    <row r="753" spans="1:45" ht="15.75" customHeight="1">
      <c r="A753" s="196"/>
      <c r="B753" s="196"/>
      <c r="C753" s="88"/>
      <c r="D753" s="88"/>
      <c r="E753" s="88"/>
      <c r="F753" s="196"/>
      <c r="G753" s="196"/>
      <c r="H753" s="196"/>
      <c r="I753" s="196"/>
      <c r="J753" s="196"/>
      <c r="K753" s="196"/>
      <c r="L753" s="196"/>
      <c r="M753" s="196"/>
      <c r="N753" s="196"/>
      <c r="O753" s="196"/>
      <c r="P753" s="196"/>
      <c r="Q753" s="196"/>
      <c r="R753" s="196"/>
      <c r="S753" s="196"/>
      <c r="T753" s="196"/>
      <c r="U753" s="196"/>
      <c r="V753" s="196"/>
      <c r="W753" s="196"/>
      <c r="X753" s="196"/>
      <c r="Y753" s="196"/>
      <c r="Z753" s="196"/>
      <c r="AA753" s="196"/>
      <c r="AB753" s="196"/>
      <c r="AC753" s="196"/>
      <c r="AD753" s="196"/>
      <c r="AE753" s="196"/>
      <c r="AF753" s="196"/>
      <c r="AG753" s="196"/>
      <c r="AH753" s="196"/>
      <c r="AI753" s="196"/>
      <c r="AJ753" s="196"/>
      <c r="AK753" s="196"/>
      <c r="AL753" s="196"/>
      <c r="AM753" s="196"/>
      <c r="AN753" s="196"/>
      <c r="AO753" s="196"/>
      <c r="AP753" s="196"/>
      <c r="AQ753" s="196"/>
      <c r="AR753" s="196"/>
      <c r="AS753" s="196"/>
    </row>
    <row r="754" spans="1:45" ht="15.75" customHeight="1">
      <c r="A754" s="196"/>
      <c r="B754" s="196"/>
      <c r="C754" s="88"/>
      <c r="D754" s="88"/>
      <c r="E754" s="88"/>
      <c r="F754" s="196"/>
      <c r="G754" s="196"/>
      <c r="H754" s="196"/>
      <c r="I754" s="196"/>
      <c r="J754" s="196"/>
      <c r="K754" s="196"/>
      <c r="L754" s="196"/>
      <c r="M754" s="196"/>
      <c r="N754" s="196"/>
      <c r="O754" s="196"/>
      <c r="P754" s="196"/>
      <c r="Q754" s="196"/>
      <c r="R754" s="196"/>
      <c r="S754" s="196"/>
      <c r="T754" s="196"/>
      <c r="U754" s="196"/>
      <c r="V754" s="196"/>
      <c r="W754" s="196"/>
      <c r="X754" s="196"/>
      <c r="Y754" s="196"/>
      <c r="Z754" s="196"/>
      <c r="AA754" s="196"/>
      <c r="AB754" s="196"/>
      <c r="AC754" s="196"/>
      <c r="AD754" s="196"/>
      <c r="AE754" s="196"/>
      <c r="AF754" s="196"/>
      <c r="AG754" s="196"/>
      <c r="AH754" s="196"/>
      <c r="AI754" s="196"/>
      <c r="AJ754" s="196"/>
      <c r="AK754" s="196"/>
      <c r="AL754" s="196"/>
      <c r="AM754" s="196"/>
      <c r="AN754" s="196"/>
      <c r="AO754" s="196"/>
      <c r="AP754" s="196"/>
      <c r="AQ754" s="196"/>
      <c r="AR754" s="196"/>
      <c r="AS754" s="196"/>
    </row>
    <row r="755" spans="1:45" ht="15.75" customHeight="1">
      <c r="A755" s="196"/>
      <c r="B755" s="196"/>
      <c r="C755" s="88"/>
      <c r="D755" s="88"/>
      <c r="E755" s="88"/>
      <c r="F755" s="196"/>
      <c r="G755" s="196"/>
      <c r="H755" s="196"/>
      <c r="I755" s="196"/>
      <c r="J755" s="196"/>
      <c r="K755" s="196"/>
      <c r="L755" s="196"/>
      <c r="M755" s="196"/>
      <c r="N755" s="196"/>
      <c r="O755" s="196"/>
      <c r="P755" s="196"/>
      <c r="Q755" s="196"/>
      <c r="R755" s="196"/>
      <c r="S755" s="196"/>
      <c r="T755" s="196"/>
      <c r="U755" s="196"/>
      <c r="V755" s="196"/>
      <c r="W755" s="196"/>
      <c r="X755" s="196"/>
      <c r="Y755" s="196"/>
      <c r="Z755" s="196"/>
      <c r="AA755" s="196"/>
      <c r="AB755" s="196"/>
      <c r="AC755" s="196"/>
      <c r="AD755" s="196"/>
      <c r="AE755" s="196"/>
      <c r="AF755" s="196"/>
      <c r="AG755" s="196"/>
      <c r="AH755" s="196"/>
      <c r="AI755" s="196"/>
      <c r="AJ755" s="196"/>
      <c r="AK755" s="196"/>
      <c r="AL755" s="196"/>
      <c r="AM755" s="196"/>
      <c r="AN755" s="196"/>
      <c r="AO755" s="196"/>
      <c r="AP755" s="196"/>
      <c r="AQ755" s="196"/>
      <c r="AR755" s="196"/>
      <c r="AS755" s="196"/>
    </row>
    <row r="756" spans="1:45" ht="15.75" customHeight="1">
      <c r="A756" s="196"/>
      <c r="B756" s="196"/>
      <c r="C756" s="88"/>
      <c r="D756" s="88"/>
      <c r="E756" s="88"/>
      <c r="F756" s="196"/>
      <c r="G756" s="196"/>
      <c r="H756" s="196"/>
      <c r="I756" s="196"/>
      <c r="J756" s="196"/>
      <c r="K756" s="196"/>
      <c r="L756" s="196"/>
      <c r="M756" s="196"/>
      <c r="N756" s="196"/>
      <c r="O756" s="196"/>
      <c r="P756" s="196"/>
      <c r="Q756" s="196"/>
      <c r="R756" s="196"/>
      <c r="S756" s="196"/>
      <c r="T756" s="196"/>
      <c r="U756" s="196"/>
      <c r="V756" s="196"/>
      <c r="W756" s="196"/>
      <c r="X756" s="196"/>
      <c r="Y756" s="196"/>
      <c r="Z756" s="196"/>
      <c r="AA756" s="196"/>
      <c r="AB756" s="196"/>
      <c r="AC756" s="196"/>
      <c r="AD756" s="196"/>
      <c r="AE756" s="196"/>
      <c r="AF756" s="196"/>
      <c r="AG756" s="196"/>
      <c r="AH756" s="196"/>
      <c r="AI756" s="196"/>
      <c r="AJ756" s="196"/>
      <c r="AK756" s="196"/>
      <c r="AL756" s="196"/>
      <c r="AM756" s="196"/>
      <c r="AN756" s="196"/>
      <c r="AO756" s="196"/>
      <c r="AP756" s="196"/>
      <c r="AQ756" s="196"/>
      <c r="AR756" s="196"/>
      <c r="AS756" s="196"/>
    </row>
    <row r="757" spans="1:45" ht="15.75" customHeight="1">
      <c r="A757" s="196"/>
      <c r="B757" s="196"/>
      <c r="C757" s="88"/>
      <c r="D757" s="88"/>
      <c r="E757" s="88"/>
      <c r="F757" s="196"/>
      <c r="G757" s="196"/>
      <c r="H757" s="196"/>
      <c r="I757" s="196"/>
      <c r="J757" s="196"/>
      <c r="K757" s="196"/>
      <c r="L757" s="196"/>
      <c r="M757" s="196"/>
      <c r="N757" s="196"/>
      <c r="O757" s="196"/>
      <c r="P757" s="196"/>
      <c r="Q757" s="196"/>
      <c r="R757" s="196"/>
      <c r="S757" s="196"/>
      <c r="T757" s="196"/>
      <c r="U757" s="196"/>
      <c r="V757" s="196"/>
      <c r="W757" s="196"/>
      <c r="X757" s="196"/>
      <c r="Y757" s="196"/>
      <c r="Z757" s="196"/>
      <c r="AA757" s="196"/>
      <c r="AB757" s="196"/>
      <c r="AC757" s="196"/>
      <c r="AD757" s="196"/>
      <c r="AE757" s="196"/>
      <c r="AF757" s="196"/>
      <c r="AG757" s="196"/>
      <c r="AH757" s="196"/>
      <c r="AI757" s="196"/>
      <c r="AJ757" s="196"/>
      <c r="AK757" s="196"/>
      <c r="AL757" s="196"/>
      <c r="AM757" s="196"/>
      <c r="AN757" s="196"/>
      <c r="AO757" s="196"/>
      <c r="AP757" s="196"/>
      <c r="AQ757" s="196"/>
      <c r="AR757" s="196"/>
      <c r="AS757" s="196"/>
    </row>
    <row r="758" spans="1:45" ht="15.75" customHeight="1">
      <c r="A758" s="196"/>
      <c r="B758" s="196"/>
      <c r="C758" s="88"/>
      <c r="D758" s="88"/>
      <c r="E758" s="88"/>
      <c r="F758" s="196"/>
      <c r="G758" s="196"/>
      <c r="H758" s="196"/>
      <c r="I758" s="196"/>
      <c r="J758" s="196"/>
      <c r="K758" s="196"/>
      <c r="L758" s="196"/>
      <c r="M758" s="196"/>
      <c r="N758" s="196"/>
      <c r="O758" s="196"/>
      <c r="P758" s="196"/>
      <c r="Q758" s="196"/>
      <c r="R758" s="196"/>
      <c r="S758" s="196"/>
      <c r="T758" s="196"/>
      <c r="U758" s="196"/>
      <c r="V758" s="196"/>
      <c r="W758" s="196"/>
      <c r="X758" s="196"/>
      <c r="Y758" s="196"/>
      <c r="Z758" s="196"/>
      <c r="AA758" s="196"/>
      <c r="AB758" s="196"/>
      <c r="AC758" s="196"/>
      <c r="AD758" s="196"/>
      <c r="AE758" s="196"/>
      <c r="AF758" s="196"/>
      <c r="AG758" s="196"/>
      <c r="AH758" s="196"/>
      <c r="AI758" s="196"/>
      <c r="AJ758" s="196"/>
      <c r="AK758" s="196"/>
      <c r="AL758" s="196"/>
      <c r="AM758" s="196"/>
      <c r="AN758" s="196"/>
      <c r="AO758" s="196"/>
      <c r="AP758" s="196"/>
      <c r="AQ758" s="196"/>
      <c r="AR758" s="196"/>
      <c r="AS758" s="196"/>
    </row>
    <row r="759" spans="1:45" ht="15.75" customHeight="1">
      <c r="A759" s="196"/>
      <c r="B759" s="196"/>
      <c r="C759" s="88"/>
      <c r="D759" s="88"/>
      <c r="E759" s="88"/>
      <c r="F759" s="196"/>
      <c r="G759" s="196"/>
      <c r="H759" s="196"/>
      <c r="I759" s="196"/>
      <c r="J759" s="196"/>
      <c r="K759" s="196"/>
      <c r="L759" s="196"/>
      <c r="M759" s="196"/>
      <c r="N759" s="196"/>
      <c r="O759" s="196"/>
      <c r="P759" s="196"/>
      <c r="Q759" s="196"/>
      <c r="R759" s="196"/>
      <c r="S759" s="196"/>
      <c r="T759" s="196"/>
      <c r="U759" s="196"/>
      <c r="V759" s="196"/>
      <c r="W759" s="196"/>
      <c r="X759" s="196"/>
      <c r="Y759" s="196"/>
      <c r="Z759" s="196"/>
      <c r="AA759" s="196"/>
      <c r="AB759" s="196"/>
      <c r="AC759" s="196"/>
      <c r="AD759" s="196"/>
      <c r="AE759" s="196"/>
      <c r="AF759" s="196"/>
      <c r="AG759" s="196"/>
      <c r="AH759" s="196"/>
      <c r="AI759" s="196"/>
      <c r="AJ759" s="196"/>
      <c r="AK759" s="196"/>
      <c r="AL759" s="196"/>
      <c r="AM759" s="196"/>
      <c r="AN759" s="196"/>
      <c r="AO759" s="196"/>
      <c r="AP759" s="196"/>
      <c r="AQ759" s="196"/>
      <c r="AR759" s="196"/>
      <c r="AS759" s="196"/>
    </row>
    <row r="760" spans="1:45" ht="15.75" customHeight="1">
      <c r="A760" s="196"/>
      <c r="B760" s="196"/>
      <c r="C760" s="88"/>
      <c r="D760" s="88"/>
      <c r="E760" s="88"/>
      <c r="F760" s="196"/>
      <c r="G760" s="196"/>
      <c r="H760" s="196"/>
      <c r="I760" s="196"/>
      <c r="J760" s="196"/>
      <c r="K760" s="196"/>
      <c r="L760" s="196"/>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row>
    <row r="761" spans="1:45" ht="15.75" customHeight="1">
      <c r="A761" s="196"/>
      <c r="B761" s="196"/>
      <c r="C761" s="88"/>
      <c r="D761" s="88"/>
      <c r="E761" s="88"/>
      <c r="F761" s="196"/>
      <c r="G761" s="196"/>
      <c r="H761" s="196"/>
      <c r="I761" s="196"/>
      <c r="J761" s="196"/>
      <c r="K761" s="196"/>
      <c r="L761" s="196"/>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row>
    <row r="762" spans="1:45" ht="15.75" customHeight="1">
      <c r="A762" s="196"/>
      <c r="B762" s="196"/>
      <c r="C762" s="88"/>
      <c r="D762" s="88"/>
      <c r="E762" s="88"/>
      <c r="F762" s="196"/>
      <c r="G762" s="196"/>
      <c r="H762" s="196"/>
      <c r="I762" s="196"/>
      <c r="J762" s="196"/>
      <c r="K762" s="196"/>
      <c r="L762" s="196"/>
      <c r="M762" s="196"/>
      <c r="N762" s="196"/>
      <c r="O762" s="196"/>
      <c r="P762" s="196"/>
      <c r="Q762" s="196"/>
      <c r="R762" s="196"/>
      <c r="S762" s="196"/>
      <c r="T762" s="196"/>
      <c r="U762" s="196"/>
      <c r="V762" s="196"/>
      <c r="W762" s="196"/>
      <c r="X762" s="196"/>
      <c r="Y762" s="196"/>
      <c r="Z762" s="196"/>
      <c r="AA762" s="196"/>
      <c r="AB762" s="196"/>
      <c r="AC762" s="196"/>
      <c r="AD762" s="196"/>
      <c r="AE762" s="196"/>
      <c r="AF762" s="196"/>
      <c r="AG762" s="196"/>
      <c r="AH762" s="196"/>
      <c r="AI762" s="196"/>
      <c r="AJ762" s="196"/>
      <c r="AK762" s="196"/>
      <c r="AL762" s="196"/>
      <c r="AM762" s="196"/>
      <c r="AN762" s="196"/>
      <c r="AO762" s="196"/>
      <c r="AP762" s="196"/>
      <c r="AQ762" s="196"/>
      <c r="AR762" s="196"/>
      <c r="AS762" s="196"/>
    </row>
    <row r="763" spans="1:45" ht="15.75" customHeight="1">
      <c r="A763" s="196"/>
      <c r="B763" s="196"/>
      <c r="C763" s="88"/>
      <c r="D763" s="88"/>
      <c r="E763" s="88"/>
      <c r="F763" s="196"/>
      <c r="G763" s="196"/>
      <c r="H763" s="196"/>
      <c r="I763" s="196"/>
      <c r="J763" s="196"/>
      <c r="K763" s="196"/>
      <c r="L763" s="196"/>
      <c r="M763" s="196"/>
      <c r="N763" s="196"/>
      <c r="O763" s="196"/>
      <c r="P763" s="196"/>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c r="AQ763" s="196"/>
      <c r="AR763" s="196"/>
      <c r="AS763" s="196"/>
    </row>
    <row r="764" spans="1:45" ht="15.75" customHeight="1">
      <c r="A764" s="196"/>
      <c r="B764" s="196"/>
      <c r="C764" s="88"/>
      <c r="D764" s="88"/>
      <c r="E764" s="88"/>
      <c r="F764" s="196"/>
      <c r="G764" s="196"/>
      <c r="H764" s="196"/>
      <c r="I764" s="196"/>
      <c r="J764" s="196"/>
      <c r="K764" s="196"/>
      <c r="L764" s="196"/>
      <c r="M764" s="196"/>
      <c r="N764" s="196"/>
      <c r="O764" s="196"/>
      <c r="P764" s="196"/>
      <c r="Q764" s="196"/>
      <c r="R764" s="196"/>
      <c r="S764" s="196"/>
      <c r="T764" s="196"/>
      <c r="U764" s="196"/>
      <c r="V764" s="196"/>
      <c r="W764" s="196"/>
      <c r="X764" s="196"/>
      <c r="Y764" s="196"/>
      <c r="Z764" s="196"/>
      <c r="AA764" s="196"/>
      <c r="AB764" s="196"/>
      <c r="AC764" s="196"/>
      <c r="AD764" s="196"/>
      <c r="AE764" s="196"/>
      <c r="AF764" s="196"/>
      <c r="AG764" s="196"/>
      <c r="AH764" s="196"/>
      <c r="AI764" s="196"/>
      <c r="AJ764" s="196"/>
      <c r="AK764" s="196"/>
      <c r="AL764" s="196"/>
      <c r="AM764" s="196"/>
      <c r="AN764" s="196"/>
      <c r="AO764" s="196"/>
      <c r="AP764" s="196"/>
      <c r="AQ764" s="196"/>
      <c r="AR764" s="196"/>
      <c r="AS764" s="196"/>
    </row>
    <row r="765" spans="1:45" ht="15.75" customHeight="1">
      <c r="A765" s="196"/>
      <c r="B765" s="196"/>
      <c r="C765" s="88"/>
      <c r="D765" s="88"/>
      <c r="E765" s="88"/>
      <c r="F765" s="196"/>
      <c r="G765" s="196"/>
      <c r="H765" s="196"/>
      <c r="I765" s="196"/>
      <c r="J765" s="196"/>
      <c r="K765" s="196"/>
      <c r="L765" s="196"/>
      <c r="M765" s="196"/>
      <c r="N765" s="196"/>
      <c r="O765" s="196"/>
      <c r="P765" s="196"/>
      <c r="Q765" s="196"/>
      <c r="R765" s="196"/>
      <c r="S765" s="196"/>
      <c r="T765" s="196"/>
      <c r="U765" s="196"/>
      <c r="V765" s="196"/>
      <c r="W765" s="196"/>
      <c r="X765" s="196"/>
      <c r="Y765" s="196"/>
      <c r="Z765" s="196"/>
      <c r="AA765" s="196"/>
      <c r="AB765" s="196"/>
      <c r="AC765" s="196"/>
      <c r="AD765" s="196"/>
      <c r="AE765" s="196"/>
      <c r="AF765" s="196"/>
      <c r="AG765" s="196"/>
      <c r="AH765" s="196"/>
      <c r="AI765" s="196"/>
      <c r="AJ765" s="196"/>
      <c r="AK765" s="196"/>
      <c r="AL765" s="196"/>
      <c r="AM765" s="196"/>
      <c r="AN765" s="196"/>
      <c r="AO765" s="196"/>
      <c r="AP765" s="196"/>
      <c r="AQ765" s="196"/>
      <c r="AR765" s="196"/>
      <c r="AS765" s="196"/>
    </row>
    <row r="766" spans="1:45" ht="15.75" customHeight="1">
      <c r="A766" s="196"/>
      <c r="B766" s="196"/>
      <c r="C766" s="88"/>
      <c r="D766" s="88"/>
      <c r="E766" s="88"/>
      <c r="F766" s="196"/>
      <c r="G766" s="196"/>
      <c r="H766" s="196"/>
      <c r="I766" s="196"/>
      <c r="J766" s="196"/>
      <c r="K766" s="196"/>
      <c r="L766" s="196"/>
      <c r="M766" s="196"/>
      <c r="N766" s="196"/>
      <c r="O766" s="196"/>
      <c r="P766" s="196"/>
      <c r="Q766" s="196"/>
      <c r="R766" s="196"/>
      <c r="S766" s="196"/>
      <c r="T766" s="196"/>
      <c r="U766" s="196"/>
      <c r="V766" s="196"/>
      <c r="W766" s="196"/>
      <c r="X766" s="196"/>
      <c r="Y766" s="196"/>
      <c r="Z766" s="196"/>
      <c r="AA766" s="196"/>
      <c r="AB766" s="196"/>
      <c r="AC766" s="196"/>
      <c r="AD766" s="196"/>
      <c r="AE766" s="196"/>
      <c r="AF766" s="196"/>
      <c r="AG766" s="196"/>
      <c r="AH766" s="196"/>
      <c r="AI766" s="196"/>
      <c r="AJ766" s="196"/>
      <c r="AK766" s="196"/>
      <c r="AL766" s="196"/>
      <c r="AM766" s="196"/>
      <c r="AN766" s="196"/>
      <c r="AO766" s="196"/>
      <c r="AP766" s="196"/>
      <c r="AQ766" s="196"/>
      <c r="AR766" s="196"/>
      <c r="AS766" s="196"/>
    </row>
    <row r="767" spans="1:45" ht="15.75" customHeight="1">
      <c r="A767" s="196"/>
      <c r="B767" s="196"/>
      <c r="C767" s="88"/>
      <c r="D767" s="88"/>
      <c r="E767" s="88"/>
      <c r="F767" s="196"/>
      <c r="G767" s="196"/>
      <c r="H767" s="196"/>
      <c r="I767" s="196"/>
      <c r="J767" s="196"/>
      <c r="K767" s="196"/>
      <c r="L767" s="196"/>
      <c r="M767" s="196"/>
      <c r="N767" s="196"/>
      <c r="O767" s="196"/>
      <c r="P767" s="196"/>
      <c r="Q767" s="196"/>
      <c r="R767" s="196"/>
      <c r="S767" s="196"/>
      <c r="T767" s="196"/>
      <c r="U767" s="196"/>
      <c r="V767" s="196"/>
      <c r="W767" s="196"/>
      <c r="X767" s="196"/>
      <c r="Y767" s="196"/>
      <c r="Z767" s="196"/>
      <c r="AA767" s="196"/>
      <c r="AB767" s="196"/>
      <c r="AC767" s="196"/>
      <c r="AD767" s="196"/>
      <c r="AE767" s="196"/>
      <c r="AF767" s="196"/>
      <c r="AG767" s="196"/>
      <c r="AH767" s="196"/>
      <c r="AI767" s="196"/>
      <c r="AJ767" s="196"/>
      <c r="AK767" s="196"/>
      <c r="AL767" s="196"/>
      <c r="AM767" s="196"/>
      <c r="AN767" s="196"/>
      <c r="AO767" s="196"/>
      <c r="AP767" s="196"/>
      <c r="AQ767" s="196"/>
      <c r="AR767" s="196"/>
      <c r="AS767" s="196"/>
    </row>
    <row r="768" spans="1:45" ht="15.75" customHeight="1">
      <c r="A768" s="196"/>
      <c r="B768" s="196"/>
      <c r="C768" s="88"/>
      <c r="D768" s="88"/>
      <c r="E768" s="88"/>
      <c r="F768" s="196"/>
      <c r="G768" s="196"/>
      <c r="H768" s="196"/>
      <c r="I768" s="196"/>
      <c r="J768" s="196"/>
      <c r="K768" s="196"/>
      <c r="L768" s="196"/>
      <c r="M768" s="196"/>
      <c r="N768" s="196"/>
      <c r="O768" s="196"/>
      <c r="P768" s="196"/>
      <c r="Q768" s="196"/>
      <c r="R768" s="196"/>
      <c r="S768" s="196"/>
      <c r="T768" s="196"/>
      <c r="U768" s="196"/>
      <c r="V768" s="196"/>
      <c r="W768" s="196"/>
      <c r="X768" s="196"/>
      <c r="Y768" s="196"/>
      <c r="Z768" s="196"/>
      <c r="AA768" s="196"/>
      <c r="AB768" s="196"/>
      <c r="AC768" s="196"/>
      <c r="AD768" s="196"/>
      <c r="AE768" s="196"/>
      <c r="AF768" s="196"/>
      <c r="AG768" s="196"/>
      <c r="AH768" s="196"/>
      <c r="AI768" s="196"/>
      <c r="AJ768" s="196"/>
      <c r="AK768" s="196"/>
      <c r="AL768" s="196"/>
      <c r="AM768" s="196"/>
      <c r="AN768" s="196"/>
      <c r="AO768" s="196"/>
      <c r="AP768" s="196"/>
      <c r="AQ768" s="196"/>
      <c r="AR768" s="196"/>
      <c r="AS768" s="196"/>
    </row>
    <row r="769" spans="1:45" ht="15.75" customHeight="1">
      <c r="A769" s="196"/>
      <c r="B769" s="196"/>
      <c r="C769" s="88"/>
      <c r="D769" s="88"/>
      <c r="E769" s="88"/>
      <c r="F769" s="196"/>
      <c r="G769" s="196"/>
      <c r="H769" s="196"/>
      <c r="I769" s="196"/>
      <c r="J769" s="196"/>
      <c r="K769" s="196"/>
      <c r="L769" s="196"/>
      <c r="M769" s="196"/>
      <c r="N769" s="196"/>
      <c r="O769" s="196"/>
      <c r="P769" s="196"/>
      <c r="Q769" s="196"/>
      <c r="R769" s="196"/>
      <c r="S769" s="196"/>
      <c r="T769" s="196"/>
      <c r="U769" s="196"/>
      <c r="V769" s="196"/>
      <c r="W769" s="196"/>
      <c r="X769" s="196"/>
      <c r="Y769" s="196"/>
      <c r="Z769" s="196"/>
      <c r="AA769" s="196"/>
      <c r="AB769" s="196"/>
      <c r="AC769" s="196"/>
      <c r="AD769" s="196"/>
      <c r="AE769" s="196"/>
      <c r="AF769" s="196"/>
      <c r="AG769" s="196"/>
      <c r="AH769" s="196"/>
      <c r="AI769" s="196"/>
      <c r="AJ769" s="196"/>
      <c r="AK769" s="196"/>
      <c r="AL769" s="196"/>
      <c r="AM769" s="196"/>
      <c r="AN769" s="196"/>
      <c r="AO769" s="196"/>
      <c r="AP769" s="196"/>
      <c r="AQ769" s="196"/>
      <c r="AR769" s="196"/>
      <c r="AS769" s="196"/>
    </row>
    <row r="770" spans="1:45" ht="15.75" customHeight="1">
      <c r="A770" s="196"/>
      <c r="B770" s="196"/>
      <c r="C770" s="88"/>
      <c r="D770" s="88"/>
      <c r="E770" s="88"/>
      <c r="F770" s="196"/>
      <c r="G770" s="196"/>
      <c r="H770" s="196"/>
      <c r="I770" s="196"/>
      <c r="J770" s="196"/>
      <c r="K770" s="196"/>
      <c r="L770" s="196"/>
      <c r="M770" s="196"/>
      <c r="N770" s="196"/>
      <c r="O770" s="196"/>
      <c r="P770" s="196"/>
      <c r="Q770" s="196"/>
      <c r="R770" s="196"/>
      <c r="S770" s="196"/>
      <c r="T770" s="196"/>
      <c r="U770" s="196"/>
      <c r="V770" s="196"/>
      <c r="W770" s="196"/>
      <c r="X770" s="196"/>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row>
    <row r="771" spans="1:45" ht="15.75" customHeight="1">
      <c r="A771" s="196"/>
      <c r="B771" s="196"/>
      <c r="C771" s="88"/>
      <c r="D771" s="88"/>
      <c r="E771" s="88"/>
      <c r="F771" s="196"/>
      <c r="G771" s="196"/>
      <c r="H771" s="196"/>
      <c r="I771" s="196"/>
      <c r="J771" s="196"/>
      <c r="K771" s="196"/>
      <c r="L771" s="196"/>
      <c r="M771" s="196"/>
      <c r="N771" s="196"/>
      <c r="O771" s="196"/>
      <c r="P771" s="196"/>
      <c r="Q771" s="196"/>
      <c r="R771" s="196"/>
      <c r="S771" s="196"/>
      <c r="T771" s="196"/>
      <c r="U771" s="196"/>
      <c r="V771" s="196"/>
      <c r="W771" s="196"/>
      <c r="X771" s="196"/>
      <c r="Y771" s="196"/>
      <c r="Z771" s="196"/>
      <c r="AA771" s="196"/>
      <c r="AB771" s="196"/>
      <c r="AC771" s="196"/>
      <c r="AD771" s="196"/>
      <c r="AE771" s="196"/>
      <c r="AF771" s="196"/>
      <c r="AG771" s="196"/>
      <c r="AH771" s="196"/>
      <c r="AI771" s="196"/>
      <c r="AJ771" s="196"/>
      <c r="AK771" s="196"/>
      <c r="AL771" s="196"/>
      <c r="AM771" s="196"/>
      <c r="AN771" s="196"/>
      <c r="AO771" s="196"/>
      <c r="AP771" s="196"/>
      <c r="AQ771" s="196"/>
      <c r="AR771" s="196"/>
      <c r="AS771" s="196"/>
    </row>
    <row r="772" spans="1:45" ht="15.75" customHeight="1">
      <c r="A772" s="196"/>
      <c r="B772" s="196"/>
      <c r="C772" s="88"/>
      <c r="D772" s="88"/>
      <c r="E772" s="88"/>
      <c r="F772" s="196"/>
      <c r="G772" s="196"/>
      <c r="H772" s="196"/>
      <c r="I772" s="196"/>
      <c r="J772" s="196"/>
      <c r="K772" s="196"/>
      <c r="L772" s="196"/>
      <c r="M772" s="196"/>
      <c r="N772" s="196"/>
      <c r="O772" s="196"/>
      <c r="P772" s="196"/>
      <c r="Q772" s="196"/>
      <c r="R772" s="196"/>
      <c r="S772" s="196"/>
      <c r="T772" s="196"/>
      <c r="U772" s="196"/>
      <c r="V772" s="196"/>
      <c r="W772" s="196"/>
      <c r="X772" s="196"/>
      <c r="Y772" s="196"/>
      <c r="Z772" s="196"/>
      <c r="AA772" s="196"/>
      <c r="AB772" s="196"/>
      <c r="AC772" s="196"/>
      <c r="AD772" s="196"/>
      <c r="AE772" s="196"/>
      <c r="AF772" s="196"/>
      <c r="AG772" s="196"/>
      <c r="AH772" s="196"/>
      <c r="AI772" s="196"/>
      <c r="AJ772" s="196"/>
      <c r="AK772" s="196"/>
      <c r="AL772" s="196"/>
      <c r="AM772" s="196"/>
      <c r="AN772" s="196"/>
      <c r="AO772" s="196"/>
      <c r="AP772" s="196"/>
      <c r="AQ772" s="196"/>
      <c r="AR772" s="196"/>
      <c r="AS772" s="196"/>
    </row>
    <row r="773" spans="1:45" ht="15.75" customHeight="1">
      <c r="A773" s="196"/>
      <c r="B773" s="196"/>
      <c r="C773" s="88"/>
      <c r="D773" s="88"/>
      <c r="E773" s="88"/>
      <c r="F773" s="196"/>
      <c r="G773" s="196"/>
      <c r="H773" s="196"/>
      <c r="I773" s="196"/>
      <c r="J773" s="196"/>
      <c r="K773" s="196"/>
      <c r="L773" s="196"/>
      <c r="M773" s="196"/>
      <c r="N773" s="196"/>
      <c r="O773" s="196"/>
      <c r="P773" s="196"/>
      <c r="Q773" s="196"/>
      <c r="R773" s="196"/>
      <c r="S773" s="196"/>
      <c r="T773" s="196"/>
      <c r="U773" s="196"/>
      <c r="V773" s="196"/>
      <c r="W773" s="196"/>
      <c r="X773" s="196"/>
      <c r="Y773" s="196"/>
      <c r="Z773" s="196"/>
      <c r="AA773" s="196"/>
      <c r="AB773" s="196"/>
      <c r="AC773" s="196"/>
      <c r="AD773" s="196"/>
      <c r="AE773" s="196"/>
      <c r="AF773" s="196"/>
      <c r="AG773" s="196"/>
      <c r="AH773" s="196"/>
      <c r="AI773" s="196"/>
      <c r="AJ773" s="196"/>
      <c r="AK773" s="196"/>
      <c r="AL773" s="196"/>
      <c r="AM773" s="196"/>
      <c r="AN773" s="196"/>
      <c r="AO773" s="196"/>
      <c r="AP773" s="196"/>
      <c r="AQ773" s="196"/>
      <c r="AR773" s="196"/>
      <c r="AS773" s="196"/>
    </row>
    <row r="774" spans="1:45" ht="15.75" customHeight="1">
      <c r="A774" s="196"/>
      <c r="B774" s="196"/>
      <c r="C774" s="88"/>
      <c r="D774" s="88"/>
      <c r="E774" s="88"/>
      <c r="F774" s="196"/>
      <c r="G774" s="196"/>
      <c r="H774" s="196"/>
      <c r="I774" s="196"/>
      <c r="J774" s="196"/>
      <c r="K774" s="196"/>
      <c r="L774" s="196"/>
      <c r="M774" s="196"/>
      <c r="N774" s="196"/>
      <c r="O774" s="196"/>
      <c r="P774" s="196"/>
      <c r="Q774" s="196"/>
      <c r="R774" s="196"/>
      <c r="S774" s="196"/>
      <c r="T774" s="196"/>
      <c r="U774" s="196"/>
      <c r="V774" s="196"/>
      <c r="W774" s="196"/>
      <c r="X774" s="196"/>
      <c r="Y774" s="196"/>
      <c r="Z774" s="196"/>
      <c r="AA774" s="196"/>
      <c r="AB774" s="196"/>
      <c r="AC774" s="196"/>
      <c r="AD774" s="196"/>
      <c r="AE774" s="196"/>
      <c r="AF774" s="196"/>
      <c r="AG774" s="196"/>
      <c r="AH774" s="196"/>
      <c r="AI774" s="196"/>
      <c r="AJ774" s="196"/>
      <c r="AK774" s="196"/>
      <c r="AL774" s="196"/>
      <c r="AM774" s="196"/>
      <c r="AN774" s="196"/>
      <c r="AO774" s="196"/>
      <c r="AP774" s="196"/>
      <c r="AQ774" s="196"/>
      <c r="AR774" s="196"/>
      <c r="AS774" s="196"/>
    </row>
    <row r="775" spans="1:45" ht="15.75" customHeight="1">
      <c r="A775" s="196"/>
      <c r="B775" s="196"/>
      <c r="C775" s="88"/>
      <c r="D775" s="88"/>
      <c r="E775" s="88"/>
      <c r="F775" s="196"/>
      <c r="G775" s="196"/>
      <c r="H775" s="196"/>
      <c r="I775" s="196"/>
      <c r="J775" s="196"/>
      <c r="K775" s="196"/>
      <c r="L775" s="196"/>
      <c r="M775" s="196"/>
      <c r="N775" s="196"/>
      <c r="O775" s="196"/>
      <c r="P775" s="196"/>
      <c r="Q775" s="196"/>
      <c r="R775" s="196"/>
      <c r="S775" s="196"/>
      <c r="T775" s="196"/>
      <c r="U775" s="196"/>
      <c r="V775" s="196"/>
      <c r="W775" s="196"/>
      <c r="X775" s="196"/>
      <c r="Y775" s="196"/>
      <c r="Z775" s="196"/>
      <c r="AA775" s="196"/>
      <c r="AB775" s="196"/>
      <c r="AC775" s="196"/>
      <c r="AD775" s="196"/>
      <c r="AE775" s="196"/>
      <c r="AF775" s="196"/>
      <c r="AG775" s="196"/>
      <c r="AH775" s="196"/>
      <c r="AI775" s="196"/>
      <c r="AJ775" s="196"/>
      <c r="AK775" s="196"/>
      <c r="AL775" s="196"/>
      <c r="AM775" s="196"/>
      <c r="AN775" s="196"/>
      <c r="AO775" s="196"/>
      <c r="AP775" s="196"/>
      <c r="AQ775" s="196"/>
      <c r="AR775" s="196"/>
      <c r="AS775" s="196"/>
    </row>
    <row r="776" spans="1:45" ht="15.75" customHeight="1">
      <c r="A776" s="196"/>
      <c r="B776" s="196"/>
      <c r="C776" s="88"/>
      <c r="D776" s="88"/>
      <c r="E776" s="88"/>
      <c r="F776" s="196"/>
      <c r="G776" s="196"/>
      <c r="H776" s="196"/>
      <c r="I776" s="196"/>
      <c r="J776" s="196"/>
      <c r="K776" s="196"/>
      <c r="L776" s="196"/>
      <c r="M776" s="196"/>
      <c r="N776" s="196"/>
      <c r="O776" s="196"/>
      <c r="P776" s="196"/>
      <c r="Q776" s="196"/>
      <c r="R776" s="196"/>
      <c r="S776" s="196"/>
      <c r="T776" s="196"/>
      <c r="U776" s="196"/>
      <c r="V776" s="196"/>
      <c r="W776" s="196"/>
      <c r="X776" s="196"/>
      <c r="Y776" s="196"/>
      <c r="Z776" s="196"/>
      <c r="AA776" s="196"/>
      <c r="AB776" s="196"/>
      <c r="AC776" s="196"/>
      <c r="AD776" s="196"/>
      <c r="AE776" s="196"/>
      <c r="AF776" s="196"/>
      <c r="AG776" s="196"/>
      <c r="AH776" s="196"/>
      <c r="AI776" s="196"/>
      <c r="AJ776" s="196"/>
      <c r="AK776" s="196"/>
      <c r="AL776" s="196"/>
      <c r="AM776" s="196"/>
      <c r="AN776" s="196"/>
      <c r="AO776" s="196"/>
      <c r="AP776" s="196"/>
      <c r="AQ776" s="196"/>
      <c r="AR776" s="196"/>
      <c r="AS776" s="196"/>
    </row>
    <row r="777" spans="1:45" ht="15.75" customHeight="1">
      <c r="A777" s="196"/>
      <c r="B777" s="196"/>
      <c r="C777" s="88"/>
      <c r="D777" s="88"/>
      <c r="E777" s="88"/>
      <c r="F777" s="196"/>
      <c r="G777" s="196"/>
      <c r="H777" s="196"/>
      <c r="I777" s="196"/>
      <c r="J777" s="196"/>
      <c r="K777" s="196"/>
      <c r="L777" s="196"/>
      <c r="M777" s="196"/>
      <c r="N777" s="196"/>
      <c r="O777" s="196"/>
      <c r="P777" s="196"/>
      <c r="Q777" s="196"/>
      <c r="R777" s="196"/>
      <c r="S777" s="196"/>
      <c r="T777" s="196"/>
      <c r="U777" s="196"/>
      <c r="V777" s="196"/>
      <c r="W777" s="196"/>
      <c r="X777" s="196"/>
      <c r="Y777" s="196"/>
      <c r="Z777" s="196"/>
      <c r="AA777" s="196"/>
      <c r="AB777" s="196"/>
      <c r="AC777" s="196"/>
      <c r="AD777" s="196"/>
      <c r="AE777" s="196"/>
      <c r="AF777" s="196"/>
      <c r="AG777" s="196"/>
      <c r="AH777" s="196"/>
      <c r="AI777" s="196"/>
      <c r="AJ777" s="196"/>
      <c r="AK777" s="196"/>
      <c r="AL777" s="196"/>
      <c r="AM777" s="196"/>
      <c r="AN777" s="196"/>
      <c r="AO777" s="196"/>
      <c r="AP777" s="196"/>
      <c r="AQ777" s="196"/>
      <c r="AR777" s="196"/>
      <c r="AS777" s="196"/>
    </row>
    <row r="778" spans="1:45" ht="15.75" customHeight="1">
      <c r="A778" s="196"/>
      <c r="B778" s="196"/>
      <c r="C778" s="88"/>
      <c r="D778" s="88"/>
      <c r="E778" s="88"/>
      <c r="F778" s="196"/>
      <c r="G778" s="196"/>
      <c r="H778" s="196"/>
      <c r="I778" s="196"/>
      <c r="J778" s="196"/>
      <c r="K778" s="196"/>
      <c r="L778" s="196"/>
      <c r="M778" s="196"/>
      <c r="N778" s="196"/>
      <c r="O778" s="196"/>
      <c r="P778" s="196"/>
      <c r="Q778" s="196"/>
      <c r="R778" s="196"/>
      <c r="S778" s="196"/>
      <c r="T778" s="196"/>
      <c r="U778" s="196"/>
      <c r="V778" s="196"/>
      <c r="W778" s="196"/>
      <c r="X778" s="196"/>
      <c r="Y778" s="196"/>
      <c r="Z778" s="196"/>
      <c r="AA778" s="196"/>
      <c r="AB778" s="196"/>
      <c r="AC778" s="196"/>
      <c r="AD778" s="196"/>
      <c r="AE778" s="196"/>
      <c r="AF778" s="196"/>
      <c r="AG778" s="196"/>
      <c r="AH778" s="196"/>
      <c r="AI778" s="196"/>
      <c r="AJ778" s="196"/>
      <c r="AK778" s="196"/>
      <c r="AL778" s="196"/>
      <c r="AM778" s="196"/>
      <c r="AN778" s="196"/>
      <c r="AO778" s="196"/>
      <c r="AP778" s="196"/>
      <c r="AQ778" s="196"/>
      <c r="AR778" s="196"/>
      <c r="AS778" s="196"/>
    </row>
    <row r="779" spans="1:45" ht="15.75" customHeight="1">
      <c r="A779" s="196"/>
      <c r="B779" s="196"/>
      <c r="C779" s="88"/>
      <c r="D779" s="88"/>
      <c r="E779" s="88"/>
      <c r="F779" s="196"/>
      <c r="G779" s="196"/>
      <c r="H779" s="196"/>
      <c r="I779" s="196"/>
      <c r="J779" s="196"/>
      <c r="K779" s="196"/>
      <c r="L779" s="196"/>
      <c r="M779" s="196"/>
      <c r="N779" s="196"/>
      <c r="O779" s="196"/>
      <c r="P779" s="196"/>
      <c r="Q779" s="196"/>
      <c r="R779" s="196"/>
      <c r="S779" s="196"/>
      <c r="T779" s="196"/>
      <c r="U779" s="196"/>
      <c r="V779" s="196"/>
      <c r="W779" s="196"/>
      <c r="X779" s="196"/>
      <c r="Y779" s="196"/>
      <c r="Z779" s="196"/>
      <c r="AA779" s="196"/>
      <c r="AB779" s="196"/>
      <c r="AC779" s="196"/>
      <c r="AD779" s="196"/>
      <c r="AE779" s="196"/>
      <c r="AF779" s="196"/>
      <c r="AG779" s="196"/>
      <c r="AH779" s="196"/>
      <c r="AI779" s="196"/>
      <c r="AJ779" s="196"/>
      <c r="AK779" s="196"/>
      <c r="AL779" s="196"/>
      <c r="AM779" s="196"/>
      <c r="AN779" s="196"/>
      <c r="AO779" s="196"/>
      <c r="AP779" s="196"/>
      <c r="AQ779" s="196"/>
      <c r="AR779" s="196"/>
      <c r="AS779" s="196"/>
    </row>
    <row r="780" spans="1:45" ht="15.75" customHeight="1">
      <c r="A780" s="196"/>
      <c r="B780" s="196"/>
      <c r="C780" s="88"/>
      <c r="D780" s="88"/>
      <c r="E780" s="88"/>
      <c r="F780" s="196"/>
      <c r="G780" s="196"/>
      <c r="H780" s="196"/>
      <c r="I780" s="196"/>
      <c r="J780" s="196"/>
      <c r="K780" s="196"/>
      <c r="L780" s="196"/>
      <c r="M780" s="196"/>
      <c r="N780" s="196"/>
      <c r="O780" s="196"/>
      <c r="P780" s="196"/>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c r="AQ780" s="196"/>
      <c r="AR780" s="196"/>
      <c r="AS780" s="196"/>
    </row>
    <row r="781" spans="1:45" ht="15.75" customHeight="1">
      <c r="A781" s="196"/>
      <c r="B781" s="196"/>
      <c r="C781" s="88"/>
      <c r="D781" s="88"/>
      <c r="E781" s="88"/>
      <c r="F781" s="196"/>
      <c r="G781" s="196"/>
      <c r="H781" s="196"/>
      <c r="I781" s="196"/>
      <c r="J781" s="196"/>
      <c r="K781" s="196"/>
      <c r="L781" s="196"/>
      <c r="M781" s="196"/>
      <c r="N781" s="196"/>
      <c r="O781" s="196"/>
      <c r="P781" s="196"/>
      <c r="Q781" s="196"/>
      <c r="R781" s="196"/>
      <c r="S781" s="196"/>
      <c r="T781" s="196"/>
      <c r="U781" s="196"/>
      <c r="V781" s="196"/>
      <c r="W781" s="196"/>
      <c r="X781" s="196"/>
      <c r="Y781" s="196"/>
      <c r="Z781" s="196"/>
      <c r="AA781" s="196"/>
      <c r="AB781" s="196"/>
      <c r="AC781" s="196"/>
      <c r="AD781" s="196"/>
      <c r="AE781" s="196"/>
      <c r="AF781" s="196"/>
      <c r="AG781" s="196"/>
      <c r="AH781" s="196"/>
      <c r="AI781" s="196"/>
      <c r="AJ781" s="196"/>
      <c r="AK781" s="196"/>
      <c r="AL781" s="196"/>
      <c r="AM781" s="196"/>
      <c r="AN781" s="196"/>
      <c r="AO781" s="196"/>
      <c r="AP781" s="196"/>
      <c r="AQ781" s="196"/>
      <c r="AR781" s="196"/>
      <c r="AS781" s="196"/>
    </row>
    <row r="782" spans="1:45" ht="15.75" customHeight="1">
      <c r="A782" s="196"/>
      <c r="B782" s="196"/>
      <c r="C782" s="88"/>
      <c r="D782" s="88"/>
      <c r="E782" s="88"/>
      <c r="F782" s="196"/>
      <c r="G782" s="196"/>
      <c r="H782" s="196"/>
      <c r="I782" s="196"/>
      <c r="J782" s="196"/>
      <c r="K782" s="196"/>
      <c r="L782" s="196"/>
      <c r="M782" s="196"/>
      <c r="N782" s="196"/>
      <c r="O782" s="196"/>
      <c r="P782" s="196"/>
      <c r="Q782" s="196"/>
      <c r="R782" s="196"/>
      <c r="S782" s="196"/>
      <c r="T782" s="196"/>
      <c r="U782" s="196"/>
      <c r="V782" s="196"/>
      <c r="W782" s="196"/>
      <c r="X782" s="196"/>
      <c r="Y782" s="196"/>
      <c r="Z782" s="196"/>
      <c r="AA782" s="196"/>
      <c r="AB782" s="196"/>
      <c r="AC782" s="196"/>
      <c r="AD782" s="196"/>
      <c r="AE782" s="196"/>
      <c r="AF782" s="196"/>
      <c r="AG782" s="196"/>
      <c r="AH782" s="196"/>
      <c r="AI782" s="196"/>
      <c r="AJ782" s="196"/>
      <c r="AK782" s="196"/>
      <c r="AL782" s="196"/>
      <c r="AM782" s="196"/>
      <c r="AN782" s="196"/>
      <c r="AO782" s="196"/>
      <c r="AP782" s="196"/>
      <c r="AQ782" s="196"/>
      <c r="AR782" s="196"/>
      <c r="AS782" s="196"/>
    </row>
    <row r="783" spans="1:45" ht="15.75" customHeight="1">
      <c r="A783" s="196"/>
      <c r="B783" s="196"/>
      <c r="C783" s="88"/>
      <c r="D783" s="88"/>
      <c r="E783" s="88"/>
      <c r="F783" s="196"/>
      <c r="G783" s="196"/>
      <c r="H783" s="196"/>
      <c r="I783" s="196"/>
      <c r="J783" s="196"/>
      <c r="K783" s="196"/>
      <c r="L783" s="196"/>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c r="AN783" s="196"/>
      <c r="AO783" s="196"/>
      <c r="AP783" s="196"/>
      <c r="AQ783" s="196"/>
      <c r="AR783" s="196"/>
      <c r="AS783" s="196"/>
    </row>
    <row r="784" spans="1:45" ht="15.75" customHeight="1">
      <c r="A784" s="196"/>
      <c r="B784" s="196"/>
      <c r="C784" s="88"/>
      <c r="D784" s="88"/>
      <c r="E784" s="88"/>
      <c r="F784" s="196"/>
      <c r="G784" s="196"/>
      <c r="H784" s="196"/>
      <c r="I784" s="196"/>
      <c r="J784" s="196"/>
      <c r="K784" s="196"/>
      <c r="L784" s="196"/>
      <c r="M784" s="196"/>
      <c r="N784" s="196"/>
      <c r="O784" s="196"/>
      <c r="P784" s="196"/>
      <c r="Q784" s="196"/>
      <c r="R784" s="196"/>
      <c r="S784" s="196"/>
      <c r="T784" s="196"/>
      <c r="U784" s="196"/>
      <c r="V784" s="196"/>
      <c r="W784" s="196"/>
      <c r="X784" s="196"/>
      <c r="Y784" s="196"/>
      <c r="Z784" s="196"/>
      <c r="AA784" s="196"/>
      <c r="AB784" s="196"/>
      <c r="AC784" s="196"/>
      <c r="AD784" s="196"/>
      <c r="AE784" s="196"/>
      <c r="AF784" s="196"/>
      <c r="AG784" s="196"/>
      <c r="AH784" s="196"/>
      <c r="AI784" s="196"/>
      <c r="AJ784" s="196"/>
      <c r="AK784" s="196"/>
      <c r="AL784" s="196"/>
      <c r="AM784" s="196"/>
      <c r="AN784" s="196"/>
      <c r="AO784" s="196"/>
      <c r="AP784" s="196"/>
      <c r="AQ784" s="196"/>
      <c r="AR784" s="196"/>
      <c r="AS784" s="196"/>
    </row>
    <row r="785" spans="1:45" ht="15.75" customHeight="1">
      <c r="A785" s="196"/>
      <c r="B785" s="196"/>
      <c r="C785" s="88"/>
      <c r="D785" s="88"/>
      <c r="E785" s="88"/>
      <c r="F785" s="196"/>
      <c r="G785" s="196"/>
      <c r="H785" s="196"/>
      <c r="I785" s="196"/>
      <c r="J785" s="196"/>
      <c r="K785" s="196"/>
      <c r="L785" s="196"/>
      <c r="M785" s="196"/>
      <c r="N785" s="196"/>
      <c r="O785" s="196"/>
      <c r="P785" s="196"/>
      <c r="Q785" s="196"/>
      <c r="R785" s="196"/>
      <c r="S785" s="196"/>
      <c r="T785" s="196"/>
      <c r="U785" s="196"/>
      <c r="V785" s="196"/>
      <c r="W785" s="196"/>
      <c r="X785" s="196"/>
      <c r="Y785" s="196"/>
      <c r="Z785" s="196"/>
      <c r="AA785" s="196"/>
      <c r="AB785" s="196"/>
      <c r="AC785" s="196"/>
      <c r="AD785" s="196"/>
      <c r="AE785" s="196"/>
      <c r="AF785" s="196"/>
      <c r="AG785" s="196"/>
      <c r="AH785" s="196"/>
      <c r="AI785" s="196"/>
      <c r="AJ785" s="196"/>
      <c r="AK785" s="196"/>
      <c r="AL785" s="196"/>
      <c r="AM785" s="196"/>
      <c r="AN785" s="196"/>
      <c r="AO785" s="196"/>
      <c r="AP785" s="196"/>
      <c r="AQ785" s="196"/>
      <c r="AR785" s="196"/>
      <c r="AS785" s="196"/>
    </row>
    <row r="786" spans="1:45" ht="15.75" customHeight="1">
      <c r="A786" s="196"/>
      <c r="B786" s="196"/>
      <c r="C786" s="88"/>
      <c r="D786" s="88"/>
      <c r="E786" s="88"/>
      <c r="F786" s="196"/>
      <c r="G786" s="196"/>
      <c r="H786" s="196"/>
      <c r="I786" s="196"/>
      <c r="J786" s="196"/>
      <c r="K786" s="196"/>
      <c r="L786" s="196"/>
      <c r="M786" s="196"/>
      <c r="N786" s="196"/>
      <c r="O786" s="196"/>
      <c r="P786" s="196"/>
      <c r="Q786" s="196"/>
      <c r="R786" s="196"/>
      <c r="S786" s="196"/>
      <c r="T786" s="196"/>
      <c r="U786" s="196"/>
      <c r="V786" s="196"/>
      <c r="W786" s="196"/>
      <c r="X786" s="196"/>
      <c r="Y786" s="196"/>
      <c r="Z786" s="196"/>
      <c r="AA786" s="196"/>
      <c r="AB786" s="196"/>
      <c r="AC786" s="196"/>
      <c r="AD786" s="196"/>
      <c r="AE786" s="196"/>
      <c r="AF786" s="196"/>
      <c r="AG786" s="196"/>
      <c r="AH786" s="196"/>
      <c r="AI786" s="196"/>
      <c r="AJ786" s="196"/>
      <c r="AK786" s="196"/>
      <c r="AL786" s="196"/>
      <c r="AM786" s="196"/>
      <c r="AN786" s="196"/>
      <c r="AO786" s="196"/>
      <c r="AP786" s="196"/>
      <c r="AQ786" s="196"/>
      <c r="AR786" s="196"/>
      <c r="AS786" s="196"/>
    </row>
    <row r="787" spans="1:45" ht="15.75" customHeight="1">
      <c r="A787" s="196"/>
      <c r="B787" s="196"/>
      <c r="C787" s="88"/>
      <c r="D787" s="88"/>
      <c r="E787" s="88"/>
      <c r="F787" s="196"/>
      <c r="G787" s="196"/>
      <c r="H787" s="196"/>
      <c r="I787" s="196"/>
      <c r="J787" s="196"/>
      <c r="K787" s="196"/>
      <c r="L787" s="196"/>
      <c r="M787" s="196"/>
      <c r="N787" s="196"/>
      <c r="O787" s="196"/>
      <c r="P787" s="196"/>
      <c r="Q787" s="196"/>
      <c r="R787" s="196"/>
      <c r="S787" s="196"/>
      <c r="T787" s="196"/>
      <c r="U787" s="196"/>
      <c r="V787" s="196"/>
      <c r="W787" s="196"/>
      <c r="X787" s="196"/>
      <c r="Y787" s="196"/>
      <c r="Z787" s="196"/>
      <c r="AA787" s="196"/>
      <c r="AB787" s="196"/>
      <c r="AC787" s="196"/>
      <c r="AD787" s="196"/>
      <c r="AE787" s="196"/>
      <c r="AF787" s="196"/>
      <c r="AG787" s="196"/>
      <c r="AH787" s="196"/>
      <c r="AI787" s="196"/>
      <c r="AJ787" s="196"/>
      <c r="AK787" s="196"/>
      <c r="AL787" s="196"/>
      <c r="AM787" s="196"/>
      <c r="AN787" s="196"/>
      <c r="AO787" s="196"/>
      <c r="AP787" s="196"/>
      <c r="AQ787" s="196"/>
      <c r="AR787" s="196"/>
      <c r="AS787" s="196"/>
    </row>
    <row r="788" spans="1:45" ht="15.75" customHeight="1">
      <c r="A788" s="196"/>
      <c r="B788" s="196"/>
      <c r="C788" s="88"/>
      <c r="D788" s="88"/>
      <c r="E788" s="88"/>
      <c r="F788" s="196"/>
      <c r="G788" s="196"/>
      <c r="H788" s="196"/>
      <c r="I788" s="196"/>
      <c r="J788" s="196"/>
      <c r="K788" s="196"/>
      <c r="L788" s="196"/>
      <c r="M788" s="196"/>
      <c r="N788" s="196"/>
      <c r="O788" s="196"/>
      <c r="P788" s="196"/>
      <c r="Q788" s="196"/>
      <c r="R788" s="196"/>
      <c r="S788" s="196"/>
      <c r="T788" s="196"/>
      <c r="U788" s="196"/>
      <c r="V788" s="196"/>
      <c r="W788" s="196"/>
      <c r="X788" s="196"/>
      <c r="Y788" s="196"/>
      <c r="Z788" s="196"/>
      <c r="AA788" s="196"/>
      <c r="AB788" s="196"/>
      <c r="AC788" s="196"/>
      <c r="AD788" s="196"/>
      <c r="AE788" s="196"/>
      <c r="AF788" s="196"/>
      <c r="AG788" s="196"/>
      <c r="AH788" s="196"/>
      <c r="AI788" s="196"/>
      <c r="AJ788" s="196"/>
      <c r="AK788" s="196"/>
      <c r="AL788" s="196"/>
      <c r="AM788" s="196"/>
      <c r="AN788" s="196"/>
      <c r="AO788" s="196"/>
      <c r="AP788" s="196"/>
      <c r="AQ788" s="196"/>
      <c r="AR788" s="196"/>
      <c r="AS788" s="196"/>
    </row>
    <row r="789" spans="1:45" ht="15.75" customHeight="1">
      <c r="A789" s="196"/>
      <c r="B789" s="196"/>
      <c r="C789" s="88"/>
      <c r="D789" s="88"/>
      <c r="E789" s="88"/>
      <c r="F789" s="196"/>
      <c r="G789" s="196"/>
      <c r="H789" s="196"/>
      <c r="I789" s="196"/>
      <c r="J789" s="196"/>
      <c r="K789" s="196"/>
      <c r="L789" s="196"/>
      <c r="M789" s="196"/>
      <c r="N789" s="196"/>
      <c r="O789" s="196"/>
      <c r="P789" s="196"/>
      <c r="Q789" s="196"/>
      <c r="R789" s="196"/>
      <c r="S789" s="196"/>
      <c r="T789" s="196"/>
      <c r="U789" s="196"/>
      <c r="V789" s="196"/>
      <c r="W789" s="196"/>
      <c r="X789" s="196"/>
      <c r="Y789" s="196"/>
      <c r="Z789" s="196"/>
      <c r="AA789" s="196"/>
      <c r="AB789" s="196"/>
      <c r="AC789" s="196"/>
      <c r="AD789" s="196"/>
      <c r="AE789" s="196"/>
      <c r="AF789" s="196"/>
      <c r="AG789" s="196"/>
      <c r="AH789" s="196"/>
      <c r="AI789" s="196"/>
      <c r="AJ789" s="196"/>
      <c r="AK789" s="196"/>
      <c r="AL789" s="196"/>
      <c r="AM789" s="196"/>
      <c r="AN789" s="196"/>
      <c r="AO789" s="196"/>
      <c r="AP789" s="196"/>
      <c r="AQ789" s="196"/>
      <c r="AR789" s="196"/>
      <c r="AS789" s="196"/>
    </row>
    <row r="790" spans="1:45" ht="15.75" customHeight="1">
      <c r="A790" s="196"/>
      <c r="B790" s="196"/>
      <c r="C790" s="88"/>
      <c r="D790" s="88"/>
      <c r="E790" s="88"/>
      <c r="F790" s="196"/>
      <c r="G790" s="196"/>
      <c r="H790" s="196"/>
      <c r="I790" s="196"/>
      <c r="J790" s="196"/>
      <c r="K790" s="196"/>
      <c r="L790" s="196"/>
      <c r="M790" s="196"/>
      <c r="N790" s="196"/>
      <c r="O790" s="196"/>
      <c r="P790" s="196"/>
      <c r="Q790" s="196"/>
      <c r="R790" s="196"/>
      <c r="S790" s="196"/>
      <c r="T790" s="196"/>
      <c r="U790" s="196"/>
      <c r="V790" s="196"/>
      <c r="W790" s="196"/>
      <c r="X790" s="196"/>
      <c r="Y790" s="196"/>
      <c r="Z790" s="196"/>
      <c r="AA790" s="196"/>
      <c r="AB790" s="196"/>
      <c r="AC790" s="196"/>
      <c r="AD790" s="196"/>
      <c r="AE790" s="196"/>
      <c r="AF790" s="196"/>
      <c r="AG790" s="196"/>
      <c r="AH790" s="196"/>
      <c r="AI790" s="196"/>
      <c r="AJ790" s="196"/>
      <c r="AK790" s="196"/>
      <c r="AL790" s="196"/>
      <c r="AM790" s="196"/>
      <c r="AN790" s="196"/>
      <c r="AO790" s="196"/>
      <c r="AP790" s="196"/>
      <c r="AQ790" s="196"/>
      <c r="AR790" s="196"/>
      <c r="AS790" s="196"/>
    </row>
    <row r="791" spans="1:45" ht="15.75" customHeight="1">
      <c r="A791" s="196"/>
      <c r="B791" s="196"/>
      <c r="C791" s="88"/>
      <c r="D791" s="88"/>
      <c r="E791" s="88"/>
      <c r="F791" s="196"/>
      <c r="G791" s="196"/>
      <c r="H791" s="196"/>
      <c r="I791" s="196"/>
      <c r="J791" s="196"/>
      <c r="K791" s="196"/>
      <c r="L791" s="196"/>
      <c r="M791" s="196"/>
      <c r="N791" s="196"/>
      <c r="O791" s="196"/>
      <c r="P791" s="196"/>
      <c r="Q791" s="196"/>
      <c r="R791" s="196"/>
      <c r="S791" s="196"/>
      <c r="T791" s="196"/>
      <c r="U791" s="196"/>
      <c r="V791" s="196"/>
      <c r="W791" s="196"/>
      <c r="X791" s="196"/>
      <c r="Y791" s="196"/>
      <c r="Z791" s="196"/>
      <c r="AA791" s="196"/>
      <c r="AB791" s="196"/>
      <c r="AC791" s="196"/>
      <c r="AD791" s="196"/>
      <c r="AE791" s="196"/>
      <c r="AF791" s="196"/>
      <c r="AG791" s="196"/>
      <c r="AH791" s="196"/>
      <c r="AI791" s="196"/>
      <c r="AJ791" s="196"/>
      <c r="AK791" s="196"/>
      <c r="AL791" s="196"/>
      <c r="AM791" s="196"/>
      <c r="AN791" s="196"/>
      <c r="AO791" s="196"/>
      <c r="AP791" s="196"/>
      <c r="AQ791" s="196"/>
      <c r="AR791" s="196"/>
      <c r="AS791" s="196"/>
    </row>
    <row r="792" spans="1:45" ht="15.75" customHeight="1">
      <c r="A792" s="196"/>
      <c r="B792" s="196"/>
      <c r="C792" s="88"/>
      <c r="D792" s="88"/>
      <c r="E792" s="88"/>
      <c r="F792" s="196"/>
      <c r="G792" s="196"/>
      <c r="H792" s="196"/>
      <c r="I792" s="196"/>
      <c r="J792" s="196"/>
      <c r="K792" s="196"/>
      <c r="L792" s="196"/>
      <c r="M792" s="196"/>
      <c r="N792" s="196"/>
      <c r="O792" s="196"/>
      <c r="P792" s="196"/>
      <c r="Q792" s="196"/>
      <c r="R792" s="196"/>
      <c r="S792" s="196"/>
      <c r="T792" s="196"/>
      <c r="U792" s="196"/>
      <c r="V792" s="196"/>
      <c r="W792" s="196"/>
      <c r="X792" s="196"/>
      <c r="Y792" s="196"/>
      <c r="Z792" s="196"/>
      <c r="AA792" s="196"/>
      <c r="AB792" s="196"/>
      <c r="AC792" s="196"/>
      <c r="AD792" s="196"/>
      <c r="AE792" s="196"/>
      <c r="AF792" s="196"/>
      <c r="AG792" s="196"/>
      <c r="AH792" s="196"/>
      <c r="AI792" s="196"/>
      <c r="AJ792" s="196"/>
      <c r="AK792" s="196"/>
      <c r="AL792" s="196"/>
      <c r="AM792" s="196"/>
      <c r="AN792" s="196"/>
      <c r="AO792" s="196"/>
      <c r="AP792" s="196"/>
      <c r="AQ792" s="196"/>
      <c r="AR792" s="196"/>
      <c r="AS792" s="196"/>
    </row>
    <row r="793" spans="1:45" ht="15.75" customHeight="1">
      <c r="A793" s="196"/>
      <c r="B793" s="196"/>
      <c r="C793" s="88"/>
      <c r="D793" s="88"/>
      <c r="E793" s="88"/>
      <c r="F793" s="196"/>
      <c r="G793" s="196"/>
      <c r="H793" s="196"/>
      <c r="I793" s="196"/>
      <c r="J793" s="196"/>
      <c r="K793" s="196"/>
      <c r="L793" s="196"/>
      <c r="M793" s="196"/>
      <c r="N793" s="196"/>
      <c r="O793" s="196"/>
      <c r="P793" s="196"/>
      <c r="Q793" s="196"/>
      <c r="R793" s="196"/>
      <c r="S793" s="196"/>
      <c r="T793" s="196"/>
      <c r="U793" s="196"/>
      <c r="V793" s="196"/>
      <c r="W793" s="196"/>
      <c r="X793" s="196"/>
      <c r="Y793" s="196"/>
      <c r="Z793" s="196"/>
      <c r="AA793" s="196"/>
      <c r="AB793" s="196"/>
      <c r="AC793" s="196"/>
      <c r="AD793" s="196"/>
      <c r="AE793" s="196"/>
      <c r="AF793" s="196"/>
      <c r="AG793" s="196"/>
      <c r="AH793" s="196"/>
      <c r="AI793" s="196"/>
      <c r="AJ793" s="196"/>
      <c r="AK793" s="196"/>
      <c r="AL793" s="196"/>
      <c r="AM793" s="196"/>
      <c r="AN793" s="196"/>
      <c r="AO793" s="196"/>
      <c r="AP793" s="196"/>
      <c r="AQ793" s="196"/>
      <c r="AR793" s="196"/>
      <c r="AS793" s="196"/>
    </row>
    <row r="794" spans="1:45" ht="15.75" customHeight="1">
      <c r="A794" s="196"/>
      <c r="B794" s="196"/>
      <c r="C794" s="88"/>
      <c r="D794" s="88"/>
      <c r="E794" s="88"/>
      <c r="F794" s="196"/>
      <c r="G794" s="196"/>
      <c r="H794" s="196"/>
      <c r="I794" s="196"/>
      <c r="J794" s="196"/>
      <c r="K794" s="196"/>
      <c r="L794" s="196"/>
      <c r="M794" s="196"/>
      <c r="N794" s="196"/>
      <c r="O794" s="196"/>
      <c r="P794" s="196"/>
      <c r="Q794" s="196"/>
      <c r="R794" s="196"/>
      <c r="S794" s="196"/>
      <c r="T794" s="196"/>
      <c r="U794" s="196"/>
      <c r="V794" s="196"/>
      <c r="W794" s="196"/>
      <c r="X794" s="196"/>
      <c r="Y794" s="196"/>
      <c r="Z794" s="196"/>
      <c r="AA794" s="196"/>
      <c r="AB794" s="196"/>
      <c r="AC794" s="196"/>
      <c r="AD794" s="196"/>
      <c r="AE794" s="196"/>
      <c r="AF794" s="196"/>
      <c r="AG794" s="196"/>
      <c r="AH794" s="196"/>
      <c r="AI794" s="196"/>
      <c r="AJ794" s="196"/>
      <c r="AK794" s="196"/>
      <c r="AL794" s="196"/>
      <c r="AM794" s="196"/>
      <c r="AN794" s="196"/>
      <c r="AO794" s="196"/>
      <c r="AP794" s="196"/>
      <c r="AQ794" s="196"/>
      <c r="AR794" s="196"/>
      <c r="AS794" s="196"/>
    </row>
    <row r="795" spans="1:45" ht="15.75" customHeight="1">
      <c r="A795" s="196"/>
      <c r="B795" s="196"/>
      <c r="C795" s="88"/>
      <c r="D795" s="88"/>
      <c r="E795" s="88"/>
      <c r="F795" s="196"/>
      <c r="G795" s="196"/>
      <c r="H795" s="196"/>
      <c r="I795" s="196"/>
      <c r="J795" s="196"/>
      <c r="K795" s="196"/>
      <c r="L795" s="196"/>
      <c r="M795" s="196"/>
      <c r="N795" s="196"/>
      <c r="O795" s="196"/>
      <c r="P795" s="196"/>
      <c r="Q795" s="196"/>
      <c r="R795" s="196"/>
      <c r="S795" s="196"/>
      <c r="T795" s="196"/>
      <c r="U795" s="196"/>
      <c r="V795" s="196"/>
      <c r="W795" s="196"/>
      <c r="X795" s="196"/>
      <c r="Y795" s="196"/>
      <c r="Z795" s="196"/>
      <c r="AA795" s="196"/>
      <c r="AB795" s="196"/>
      <c r="AC795" s="196"/>
      <c r="AD795" s="196"/>
      <c r="AE795" s="196"/>
      <c r="AF795" s="196"/>
      <c r="AG795" s="196"/>
      <c r="AH795" s="196"/>
      <c r="AI795" s="196"/>
      <c r="AJ795" s="196"/>
      <c r="AK795" s="196"/>
      <c r="AL795" s="196"/>
      <c r="AM795" s="196"/>
      <c r="AN795" s="196"/>
      <c r="AO795" s="196"/>
      <c r="AP795" s="196"/>
      <c r="AQ795" s="196"/>
      <c r="AR795" s="196"/>
      <c r="AS795" s="196"/>
    </row>
    <row r="796" spans="1:45" ht="15.75" customHeight="1">
      <c r="A796" s="196"/>
      <c r="B796" s="196"/>
      <c r="C796" s="88"/>
      <c r="D796" s="88"/>
      <c r="E796" s="88"/>
      <c r="F796" s="196"/>
      <c r="G796" s="196"/>
      <c r="H796" s="196"/>
      <c r="I796" s="196"/>
      <c r="J796" s="196"/>
      <c r="K796" s="196"/>
      <c r="L796" s="196"/>
      <c r="M796" s="196"/>
      <c r="N796" s="196"/>
      <c r="O796" s="196"/>
      <c r="P796" s="196"/>
      <c r="Q796" s="196"/>
      <c r="R796" s="196"/>
      <c r="S796" s="196"/>
      <c r="T796" s="196"/>
      <c r="U796" s="196"/>
      <c r="V796" s="196"/>
      <c r="W796" s="196"/>
      <c r="X796" s="196"/>
      <c r="Y796" s="196"/>
      <c r="Z796" s="196"/>
      <c r="AA796" s="196"/>
      <c r="AB796" s="196"/>
      <c r="AC796" s="196"/>
      <c r="AD796" s="196"/>
      <c r="AE796" s="196"/>
      <c r="AF796" s="196"/>
      <c r="AG796" s="196"/>
      <c r="AH796" s="196"/>
      <c r="AI796" s="196"/>
      <c r="AJ796" s="196"/>
      <c r="AK796" s="196"/>
      <c r="AL796" s="196"/>
      <c r="AM796" s="196"/>
      <c r="AN796" s="196"/>
      <c r="AO796" s="196"/>
      <c r="AP796" s="196"/>
      <c r="AQ796" s="196"/>
      <c r="AR796" s="196"/>
      <c r="AS796" s="196"/>
    </row>
    <row r="797" spans="1:45" ht="15.75" customHeight="1">
      <c r="A797" s="196"/>
      <c r="B797" s="196"/>
      <c r="C797" s="88"/>
      <c r="D797" s="88"/>
      <c r="E797" s="88"/>
      <c r="F797" s="196"/>
      <c r="G797" s="196"/>
      <c r="H797" s="196"/>
      <c r="I797" s="196"/>
      <c r="J797" s="196"/>
      <c r="K797" s="196"/>
      <c r="L797" s="196"/>
      <c r="M797" s="196"/>
      <c r="N797" s="196"/>
      <c r="O797" s="196"/>
      <c r="P797" s="196"/>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c r="AQ797" s="196"/>
      <c r="AR797" s="196"/>
      <c r="AS797" s="196"/>
    </row>
    <row r="798" spans="1:45" ht="15.75" customHeight="1">
      <c r="A798" s="196"/>
      <c r="B798" s="196"/>
      <c r="C798" s="88"/>
      <c r="D798" s="88"/>
      <c r="E798" s="88"/>
      <c r="F798" s="196"/>
      <c r="G798" s="196"/>
      <c r="H798" s="196"/>
      <c r="I798" s="196"/>
      <c r="J798" s="196"/>
      <c r="K798" s="196"/>
      <c r="L798" s="196"/>
      <c r="M798" s="196"/>
      <c r="N798" s="196"/>
      <c r="O798" s="196"/>
      <c r="P798" s="196"/>
      <c r="Q798" s="196"/>
      <c r="R798" s="196"/>
      <c r="S798" s="196"/>
      <c r="T798" s="196"/>
      <c r="U798" s="196"/>
      <c r="V798" s="196"/>
      <c r="W798" s="196"/>
      <c r="X798" s="196"/>
      <c r="Y798" s="196"/>
      <c r="Z798" s="196"/>
      <c r="AA798" s="196"/>
      <c r="AB798" s="196"/>
      <c r="AC798" s="196"/>
      <c r="AD798" s="196"/>
      <c r="AE798" s="196"/>
      <c r="AF798" s="196"/>
      <c r="AG798" s="196"/>
      <c r="AH798" s="196"/>
      <c r="AI798" s="196"/>
      <c r="AJ798" s="196"/>
      <c r="AK798" s="196"/>
      <c r="AL798" s="196"/>
      <c r="AM798" s="196"/>
      <c r="AN798" s="196"/>
      <c r="AO798" s="196"/>
      <c r="AP798" s="196"/>
      <c r="AQ798" s="196"/>
      <c r="AR798" s="196"/>
      <c r="AS798" s="196"/>
    </row>
    <row r="799" spans="1:45" ht="15.75" customHeight="1">
      <c r="A799" s="196"/>
      <c r="B799" s="196"/>
      <c r="C799" s="88"/>
      <c r="D799" s="88"/>
      <c r="E799" s="88"/>
      <c r="F799" s="196"/>
      <c r="G799" s="196"/>
      <c r="H799" s="196"/>
      <c r="I799" s="196"/>
      <c r="J799" s="196"/>
      <c r="K799" s="196"/>
      <c r="L799" s="196"/>
      <c r="M799" s="196"/>
      <c r="N799" s="196"/>
      <c r="O799" s="196"/>
      <c r="P799" s="196"/>
      <c r="Q799" s="196"/>
      <c r="R799" s="196"/>
      <c r="S799" s="196"/>
      <c r="T799" s="196"/>
      <c r="U799" s="196"/>
      <c r="V799" s="196"/>
      <c r="W799" s="196"/>
      <c r="X799" s="196"/>
      <c r="Y799" s="196"/>
      <c r="Z799" s="196"/>
      <c r="AA799" s="196"/>
      <c r="AB799" s="196"/>
      <c r="AC799" s="196"/>
      <c r="AD799" s="196"/>
      <c r="AE799" s="196"/>
      <c r="AF799" s="196"/>
      <c r="AG799" s="196"/>
      <c r="AH799" s="196"/>
      <c r="AI799" s="196"/>
      <c r="AJ799" s="196"/>
      <c r="AK799" s="196"/>
      <c r="AL799" s="196"/>
      <c r="AM799" s="196"/>
      <c r="AN799" s="196"/>
      <c r="AO799" s="196"/>
      <c r="AP799" s="196"/>
      <c r="AQ799" s="196"/>
      <c r="AR799" s="196"/>
      <c r="AS799" s="196"/>
    </row>
    <row r="800" spans="1:45" ht="15.75" customHeight="1">
      <c r="A800" s="196"/>
      <c r="B800" s="196"/>
      <c r="C800" s="88"/>
      <c r="D800" s="88"/>
      <c r="E800" s="88"/>
      <c r="F800" s="196"/>
      <c r="G800" s="196"/>
      <c r="H800" s="196"/>
      <c r="I800" s="196"/>
      <c r="J800" s="196"/>
      <c r="K800" s="196"/>
      <c r="L800" s="196"/>
      <c r="M800" s="196"/>
      <c r="N800" s="196"/>
      <c r="O800" s="196"/>
      <c r="P800" s="196"/>
      <c r="Q800" s="196"/>
      <c r="R800" s="196"/>
      <c r="S800" s="196"/>
      <c r="T800" s="196"/>
      <c r="U800" s="196"/>
      <c r="V800" s="196"/>
      <c r="W800" s="196"/>
      <c r="X800" s="196"/>
      <c r="Y800" s="196"/>
      <c r="Z800" s="196"/>
      <c r="AA800" s="196"/>
      <c r="AB800" s="196"/>
      <c r="AC800" s="196"/>
      <c r="AD800" s="196"/>
      <c r="AE800" s="196"/>
      <c r="AF800" s="196"/>
      <c r="AG800" s="196"/>
      <c r="AH800" s="196"/>
      <c r="AI800" s="196"/>
      <c r="AJ800" s="196"/>
      <c r="AK800" s="196"/>
      <c r="AL800" s="196"/>
      <c r="AM800" s="196"/>
      <c r="AN800" s="196"/>
      <c r="AO800" s="196"/>
      <c r="AP800" s="196"/>
      <c r="AQ800" s="196"/>
      <c r="AR800" s="196"/>
      <c r="AS800" s="196"/>
    </row>
    <row r="801" spans="1:45" ht="15.75" customHeight="1">
      <c r="A801" s="196"/>
      <c r="B801" s="196"/>
      <c r="C801" s="88"/>
      <c r="D801" s="88"/>
      <c r="E801" s="88"/>
      <c r="F801" s="196"/>
      <c r="G801" s="196"/>
      <c r="H801" s="196"/>
      <c r="I801" s="196"/>
      <c r="J801" s="196"/>
      <c r="K801" s="196"/>
      <c r="L801" s="196"/>
      <c r="M801" s="196"/>
      <c r="N801" s="196"/>
      <c r="O801" s="196"/>
      <c r="P801" s="196"/>
      <c r="Q801" s="196"/>
      <c r="R801" s="196"/>
      <c r="S801" s="196"/>
      <c r="T801" s="196"/>
      <c r="U801" s="196"/>
      <c r="V801" s="196"/>
      <c r="W801" s="196"/>
      <c r="X801" s="196"/>
      <c r="Y801" s="196"/>
      <c r="Z801" s="196"/>
      <c r="AA801" s="196"/>
      <c r="AB801" s="196"/>
      <c r="AC801" s="196"/>
      <c r="AD801" s="196"/>
      <c r="AE801" s="196"/>
      <c r="AF801" s="196"/>
      <c r="AG801" s="196"/>
      <c r="AH801" s="196"/>
      <c r="AI801" s="196"/>
      <c r="AJ801" s="196"/>
      <c r="AK801" s="196"/>
      <c r="AL801" s="196"/>
      <c r="AM801" s="196"/>
      <c r="AN801" s="196"/>
      <c r="AO801" s="196"/>
      <c r="AP801" s="196"/>
      <c r="AQ801" s="196"/>
      <c r="AR801" s="196"/>
      <c r="AS801" s="196"/>
    </row>
    <row r="802" spans="1:45" ht="15.75" customHeight="1">
      <c r="A802" s="196"/>
      <c r="B802" s="196"/>
      <c r="C802" s="88"/>
      <c r="D802" s="88"/>
      <c r="E802" s="88"/>
      <c r="F802" s="196"/>
      <c r="G802" s="196"/>
      <c r="H802" s="196"/>
      <c r="I802" s="196"/>
      <c r="J802" s="196"/>
      <c r="K802" s="196"/>
      <c r="L802" s="196"/>
      <c r="M802" s="196"/>
      <c r="N802" s="196"/>
      <c r="O802" s="196"/>
      <c r="P802" s="196"/>
      <c r="Q802" s="196"/>
      <c r="R802" s="196"/>
      <c r="S802" s="196"/>
      <c r="T802" s="196"/>
      <c r="U802" s="196"/>
      <c r="V802" s="196"/>
      <c r="W802" s="196"/>
      <c r="X802" s="196"/>
      <c r="Y802" s="196"/>
      <c r="Z802" s="196"/>
      <c r="AA802" s="196"/>
      <c r="AB802" s="196"/>
      <c r="AC802" s="196"/>
      <c r="AD802" s="196"/>
      <c r="AE802" s="196"/>
      <c r="AF802" s="196"/>
      <c r="AG802" s="196"/>
      <c r="AH802" s="196"/>
      <c r="AI802" s="196"/>
      <c r="AJ802" s="196"/>
      <c r="AK802" s="196"/>
      <c r="AL802" s="196"/>
      <c r="AM802" s="196"/>
      <c r="AN802" s="196"/>
      <c r="AO802" s="196"/>
      <c r="AP802" s="196"/>
      <c r="AQ802" s="196"/>
      <c r="AR802" s="196"/>
      <c r="AS802" s="196"/>
    </row>
    <row r="803" spans="1:45" ht="15.75" customHeight="1">
      <c r="A803" s="196"/>
      <c r="B803" s="196"/>
      <c r="C803" s="88"/>
      <c r="D803" s="88"/>
      <c r="E803" s="88"/>
      <c r="F803" s="196"/>
      <c r="G803" s="196"/>
      <c r="H803" s="196"/>
      <c r="I803" s="196"/>
      <c r="J803" s="196"/>
      <c r="K803" s="196"/>
      <c r="L803" s="196"/>
      <c r="M803" s="196"/>
      <c r="N803" s="196"/>
      <c r="O803" s="196"/>
      <c r="P803" s="196"/>
      <c r="Q803" s="196"/>
      <c r="R803" s="196"/>
      <c r="S803" s="196"/>
      <c r="T803" s="196"/>
      <c r="U803" s="196"/>
      <c r="V803" s="196"/>
      <c r="W803" s="196"/>
      <c r="X803" s="196"/>
      <c r="Y803" s="196"/>
      <c r="Z803" s="196"/>
      <c r="AA803" s="196"/>
      <c r="AB803" s="196"/>
      <c r="AC803" s="196"/>
      <c r="AD803" s="196"/>
      <c r="AE803" s="196"/>
      <c r="AF803" s="196"/>
      <c r="AG803" s="196"/>
      <c r="AH803" s="196"/>
      <c r="AI803" s="196"/>
      <c r="AJ803" s="196"/>
      <c r="AK803" s="196"/>
      <c r="AL803" s="196"/>
      <c r="AM803" s="196"/>
      <c r="AN803" s="196"/>
      <c r="AO803" s="196"/>
      <c r="AP803" s="196"/>
      <c r="AQ803" s="196"/>
      <c r="AR803" s="196"/>
      <c r="AS803" s="196"/>
    </row>
    <row r="804" spans="1:45" ht="15.75" customHeight="1">
      <c r="A804" s="196"/>
      <c r="B804" s="196"/>
      <c r="C804" s="88"/>
      <c r="D804" s="88"/>
      <c r="E804" s="88"/>
      <c r="F804" s="196"/>
      <c r="G804" s="196"/>
      <c r="H804" s="196"/>
      <c r="I804" s="196"/>
      <c r="J804" s="196"/>
      <c r="K804" s="196"/>
      <c r="L804" s="196"/>
      <c r="M804" s="196"/>
      <c r="N804" s="196"/>
      <c r="O804" s="196"/>
      <c r="P804" s="196"/>
      <c r="Q804" s="196"/>
      <c r="R804" s="196"/>
      <c r="S804" s="196"/>
      <c r="T804" s="196"/>
      <c r="U804" s="196"/>
      <c r="V804" s="196"/>
      <c r="W804" s="196"/>
      <c r="X804" s="196"/>
      <c r="Y804" s="196"/>
      <c r="Z804" s="196"/>
      <c r="AA804" s="196"/>
      <c r="AB804" s="196"/>
      <c r="AC804" s="196"/>
      <c r="AD804" s="196"/>
      <c r="AE804" s="196"/>
      <c r="AF804" s="196"/>
      <c r="AG804" s="196"/>
      <c r="AH804" s="196"/>
      <c r="AI804" s="196"/>
      <c r="AJ804" s="196"/>
      <c r="AK804" s="196"/>
      <c r="AL804" s="196"/>
      <c r="AM804" s="196"/>
      <c r="AN804" s="196"/>
      <c r="AO804" s="196"/>
      <c r="AP804" s="196"/>
      <c r="AQ804" s="196"/>
      <c r="AR804" s="196"/>
      <c r="AS804" s="196"/>
    </row>
    <row r="805" spans="1:45" ht="15.75" customHeight="1">
      <c r="A805" s="196"/>
      <c r="B805" s="196"/>
      <c r="C805" s="88"/>
      <c r="D805" s="88"/>
      <c r="E805" s="88"/>
      <c r="F805" s="196"/>
      <c r="G805" s="196"/>
      <c r="H805" s="196"/>
      <c r="I805" s="196"/>
      <c r="J805" s="196"/>
      <c r="K805" s="196"/>
      <c r="L805" s="196"/>
      <c r="M805" s="196"/>
      <c r="N805" s="196"/>
      <c r="O805" s="196"/>
      <c r="P805" s="196"/>
      <c r="Q805" s="196"/>
      <c r="R805" s="196"/>
      <c r="S805" s="196"/>
      <c r="T805" s="196"/>
      <c r="U805" s="196"/>
      <c r="V805" s="196"/>
      <c r="W805" s="196"/>
      <c r="X805" s="196"/>
      <c r="Y805" s="196"/>
      <c r="Z805" s="196"/>
      <c r="AA805" s="196"/>
      <c r="AB805" s="196"/>
      <c r="AC805" s="196"/>
      <c r="AD805" s="196"/>
      <c r="AE805" s="196"/>
      <c r="AF805" s="196"/>
      <c r="AG805" s="196"/>
      <c r="AH805" s="196"/>
      <c r="AI805" s="196"/>
      <c r="AJ805" s="196"/>
      <c r="AK805" s="196"/>
      <c r="AL805" s="196"/>
      <c r="AM805" s="196"/>
      <c r="AN805" s="196"/>
      <c r="AO805" s="196"/>
      <c r="AP805" s="196"/>
      <c r="AQ805" s="196"/>
      <c r="AR805" s="196"/>
      <c r="AS805" s="196"/>
    </row>
    <row r="806" spans="1:45" ht="15.75" customHeight="1">
      <c r="A806" s="196"/>
      <c r="B806" s="196"/>
      <c r="C806" s="88"/>
      <c r="D806" s="88"/>
      <c r="E806" s="88"/>
      <c r="F806" s="196"/>
      <c r="G806" s="196"/>
      <c r="H806" s="196"/>
      <c r="I806" s="196"/>
      <c r="J806" s="196"/>
      <c r="K806" s="196"/>
      <c r="L806" s="196"/>
      <c r="M806" s="196"/>
      <c r="N806" s="196"/>
      <c r="O806" s="196"/>
      <c r="P806" s="196"/>
      <c r="Q806" s="196"/>
      <c r="R806" s="196"/>
      <c r="S806" s="196"/>
      <c r="T806" s="196"/>
      <c r="U806" s="196"/>
      <c r="V806" s="196"/>
      <c r="W806" s="196"/>
      <c r="X806" s="196"/>
      <c r="Y806" s="196"/>
      <c r="Z806" s="196"/>
      <c r="AA806" s="196"/>
      <c r="AB806" s="196"/>
      <c r="AC806" s="196"/>
      <c r="AD806" s="196"/>
      <c r="AE806" s="196"/>
      <c r="AF806" s="196"/>
      <c r="AG806" s="196"/>
      <c r="AH806" s="196"/>
      <c r="AI806" s="196"/>
      <c r="AJ806" s="196"/>
      <c r="AK806" s="196"/>
      <c r="AL806" s="196"/>
      <c r="AM806" s="196"/>
      <c r="AN806" s="196"/>
      <c r="AO806" s="196"/>
      <c r="AP806" s="196"/>
      <c r="AQ806" s="196"/>
      <c r="AR806" s="196"/>
      <c r="AS806" s="196"/>
    </row>
    <row r="807" spans="1:45" ht="15.75" customHeight="1">
      <c r="A807" s="196"/>
      <c r="B807" s="196"/>
      <c r="C807" s="88"/>
      <c r="D807" s="88"/>
      <c r="E807" s="88"/>
      <c r="F807" s="196"/>
      <c r="G807" s="196"/>
      <c r="H807" s="196"/>
      <c r="I807" s="196"/>
      <c r="J807" s="196"/>
      <c r="K807" s="196"/>
      <c r="L807" s="196"/>
      <c r="M807" s="196"/>
      <c r="N807" s="196"/>
      <c r="O807" s="196"/>
      <c r="P807" s="196"/>
      <c r="Q807" s="196"/>
      <c r="R807" s="196"/>
      <c r="S807" s="196"/>
      <c r="T807" s="196"/>
      <c r="U807" s="196"/>
      <c r="V807" s="196"/>
      <c r="W807" s="196"/>
      <c r="X807" s="196"/>
      <c r="Y807" s="196"/>
      <c r="Z807" s="196"/>
      <c r="AA807" s="196"/>
      <c r="AB807" s="196"/>
      <c r="AC807" s="196"/>
      <c r="AD807" s="196"/>
      <c r="AE807" s="196"/>
      <c r="AF807" s="196"/>
      <c r="AG807" s="196"/>
      <c r="AH807" s="196"/>
      <c r="AI807" s="196"/>
      <c r="AJ807" s="196"/>
      <c r="AK807" s="196"/>
      <c r="AL807" s="196"/>
      <c r="AM807" s="196"/>
      <c r="AN807" s="196"/>
      <c r="AO807" s="196"/>
      <c r="AP807" s="196"/>
      <c r="AQ807" s="196"/>
      <c r="AR807" s="196"/>
      <c r="AS807" s="196"/>
    </row>
    <row r="808" spans="1:45" ht="15.75" customHeight="1">
      <c r="A808" s="196"/>
      <c r="B808" s="196"/>
      <c r="C808" s="88"/>
      <c r="D808" s="88"/>
      <c r="E808" s="88"/>
      <c r="F808" s="196"/>
      <c r="G808" s="196"/>
      <c r="H808" s="196"/>
      <c r="I808" s="196"/>
      <c r="J808" s="196"/>
      <c r="K808" s="196"/>
      <c r="L808" s="196"/>
      <c r="M808" s="196"/>
      <c r="N808" s="196"/>
      <c r="O808" s="196"/>
      <c r="P808" s="196"/>
      <c r="Q808" s="196"/>
      <c r="R808" s="196"/>
      <c r="S808" s="196"/>
      <c r="T808" s="196"/>
      <c r="U808" s="196"/>
      <c r="V808" s="196"/>
      <c r="W808" s="196"/>
      <c r="X808" s="196"/>
      <c r="Y808" s="196"/>
      <c r="Z808" s="196"/>
      <c r="AA808" s="196"/>
      <c r="AB808" s="196"/>
      <c r="AC808" s="196"/>
      <c r="AD808" s="196"/>
      <c r="AE808" s="196"/>
      <c r="AF808" s="196"/>
      <c r="AG808" s="196"/>
      <c r="AH808" s="196"/>
      <c r="AI808" s="196"/>
      <c r="AJ808" s="196"/>
      <c r="AK808" s="196"/>
      <c r="AL808" s="196"/>
      <c r="AM808" s="196"/>
      <c r="AN808" s="196"/>
      <c r="AO808" s="196"/>
      <c r="AP808" s="196"/>
      <c r="AQ808" s="196"/>
      <c r="AR808" s="196"/>
      <c r="AS808" s="196"/>
    </row>
    <row r="809" spans="1:45" ht="15.75" customHeight="1">
      <c r="A809" s="196"/>
      <c r="B809" s="196"/>
      <c r="C809" s="88"/>
      <c r="D809" s="88"/>
      <c r="E809" s="88"/>
      <c r="F809" s="196"/>
      <c r="G809" s="196"/>
      <c r="H809" s="196"/>
      <c r="I809" s="196"/>
      <c r="J809" s="196"/>
      <c r="K809" s="196"/>
      <c r="L809" s="196"/>
      <c r="M809" s="196"/>
      <c r="N809" s="196"/>
      <c r="O809" s="196"/>
      <c r="P809" s="196"/>
      <c r="Q809" s="196"/>
      <c r="R809" s="196"/>
      <c r="S809" s="196"/>
      <c r="T809" s="196"/>
      <c r="U809" s="196"/>
      <c r="V809" s="196"/>
      <c r="W809" s="196"/>
      <c r="X809" s="196"/>
      <c r="Y809" s="196"/>
      <c r="Z809" s="196"/>
      <c r="AA809" s="196"/>
      <c r="AB809" s="196"/>
      <c r="AC809" s="196"/>
      <c r="AD809" s="196"/>
      <c r="AE809" s="196"/>
      <c r="AF809" s="196"/>
      <c r="AG809" s="196"/>
      <c r="AH809" s="196"/>
      <c r="AI809" s="196"/>
      <c r="AJ809" s="196"/>
      <c r="AK809" s="196"/>
      <c r="AL809" s="196"/>
      <c r="AM809" s="196"/>
      <c r="AN809" s="196"/>
      <c r="AO809" s="196"/>
      <c r="AP809" s="196"/>
      <c r="AQ809" s="196"/>
      <c r="AR809" s="196"/>
      <c r="AS809" s="196"/>
    </row>
    <row r="810" spans="1:45" ht="15.75" customHeight="1">
      <c r="A810" s="196"/>
      <c r="B810" s="196"/>
      <c r="C810" s="88"/>
      <c r="D810" s="88"/>
      <c r="E810" s="88"/>
      <c r="F810" s="196"/>
      <c r="G810" s="196"/>
      <c r="H810" s="196"/>
      <c r="I810" s="196"/>
      <c r="J810" s="196"/>
      <c r="K810" s="196"/>
      <c r="L810" s="196"/>
      <c r="M810" s="196"/>
      <c r="N810" s="196"/>
      <c r="O810" s="196"/>
      <c r="P810" s="196"/>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c r="AQ810" s="196"/>
      <c r="AR810" s="196"/>
      <c r="AS810" s="196"/>
    </row>
    <row r="811" spans="1:45" ht="15.75" customHeight="1">
      <c r="A811" s="196"/>
      <c r="B811" s="196"/>
      <c r="C811" s="88"/>
      <c r="D811" s="88"/>
      <c r="E811" s="88"/>
      <c r="F811" s="196"/>
      <c r="G811" s="196"/>
      <c r="H811" s="196"/>
      <c r="I811" s="196"/>
      <c r="J811" s="196"/>
      <c r="K811" s="196"/>
      <c r="L811" s="196"/>
      <c r="M811" s="196"/>
      <c r="N811" s="196"/>
      <c r="O811" s="196"/>
      <c r="P811" s="196"/>
      <c r="Q811" s="196"/>
      <c r="R811" s="196"/>
      <c r="S811" s="196"/>
      <c r="T811" s="196"/>
      <c r="U811" s="196"/>
      <c r="V811" s="196"/>
      <c r="W811" s="196"/>
      <c r="X811" s="196"/>
      <c r="Y811" s="196"/>
      <c r="Z811" s="196"/>
      <c r="AA811" s="196"/>
      <c r="AB811" s="196"/>
      <c r="AC811" s="196"/>
      <c r="AD811" s="196"/>
      <c r="AE811" s="196"/>
      <c r="AF811" s="196"/>
      <c r="AG811" s="196"/>
      <c r="AH811" s="196"/>
      <c r="AI811" s="196"/>
      <c r="AJ811" s="196"/>
      <c r="AK811" s="196"/>
      <c r="AL811" s="196"/>
      <c r="AM811" s="196"/>
      <c r="AN811" s="196"/>
      <c r="AO811" s="196"/>
      <c r="AP811" s="196"/>
      <c r="AQ811" s="196"/>
      <c r="AR811" s="196"/>
      <c r="AS811" s="196"/>
    </row>
    <row r="812" spans="1:45" ht="15.75" customHeight="1">
      <c r="A812" s="196"/>
      <c r="B812" s="196"/>
      <c r="C812" s="88"/>
      <c r="D812" s="88"/>
      <c r="E812" s="88"/>
      <c r="F812" s="196"/>
      <c r="G812" s="196"/>
      <c r="H812" s="196"/>
      <c r="I812" s="196"/>
      <c r="J812" s="196"/>
      <c r="K812" s="196"/>
      <c r="L812" s="196"/>
      <c r="M812" s="196"/>
      <c r="N812" s="196"/>
      <c r="O812" s="196"/>
      <c r="P812" s="196"/>
      <c r="Q812" s="196"/>
      <c r="R812" s="196"/>
      <c r="S812" s="196"/>
      <c r="T812" s="196"/>
      <c r="U812" s="196"/>
      <c r="V812" s="196"/>
      <c r="W812" s="196"/>
      <c r="X812" s="196"/>
      <c r="Y812" s="196"/>
      <c r="Z812" s="196"/>
      <c r="AA812" s="196"/>
      <c r="AB812" s="196"/>
      <c r="AC812" s="196"/>
      <c r="AD812" s="196"/>
      <c r="AE812" s="196"/>
      <c r="AF812" s="196"/>
      <c r="AG812" s="196"/>
      <c r="AH812" s="196"/>
      <c r="AI812" s="196"/>
      <c r="AJ812" s="196"/>
      <c r="AK812" s="196"/>
      <c r="AL812" s="196"/>
      <c r="AM812" s="196"/>
      <c r="AN812" s="196"/>
      <c r="AO812" s="196"/>
      <c r="AP812" s="196"/>
      <c r="AQ812" s="196"/>
      <c r="AR812" s="196"/>
      <c r="AS812" s="196"/>
    </row>
    <row r="813" spans="1:45" ht="15.75" customHeight="1">
      <c r="A813" s="196"/>
      <c r="B813" s="196"/>
      <c r="C813" s="88"/>
      <c r="D813" s="88"/>
      <c r="E813" s="88"/>
      <c r="F813" s="196"/>
      <c r="G813" s="196"/>
      <c r="H813" s="196"/>
      <c r="I813" s="196"/>
      <c r="J813" s="196"/>
      <c r="K813" s="196"/>
      <c r="L813" s="196"/>
      <c r="M813" s="196"/>
      <c r="N813" s="196"/>
      <c r="O813" s="196"/>
      <c r="P813" s="196"/>
      <c r="Q813" s="196"/>
      <c r="R813" s="196"/>
      <c r="S813" s="196"/>
      <c r="T813" s="196"/>
      <c r="U813" s="196"/>
      <c r="V813" s="196"/>
      <c r="W813" s="196"/>
      <c r="X813" s="196"/>
      <c r="Y813" s="196"/>
      <c r="Z813" s="196"/>
      <c r="AA813" s="196"/>
      <c r="AB813" s="196"/>
      <c r="AC813" s="196"/>
      <c r="AD813" s="196"/>
      <c r="AE813" s="196"/>
      <c r="AF813" s="196"/>
      <c r="AG813" s="196"/>
      <c r="AH813" s="196"/>
      <c r="AI813" s="196"/>
      <c r="AJ813" s="196"/>
      <c r="AK813" s="196"/>
      <c r="AL813" s="196"/>
      <c r="AM813" s="196"/>
      <c r="AN813" s="196"/>
      <c r="AO813" s="196"/>
      <c r="AP813" s="196"/>
      <c r="AQ813" s="196"/>
      <c r="AR813" s="196"/>
      <c r="AS813" s="196"/>
    </row>
    <row r="814" spans="1:45" ht="15.75" customHeight="1">
      <c r="A814" s="196"/>
      <c r="B814" s="196"/>
      <c r="C814" s="88"/>
      <c r="D814" s="88"/>
      <c r="E814" s="88"/>
      <c r="F814" s="196"/>
      <c r="G814" s="196"/>
      <c r="H814" s="196"/>
      <c r="I814" s="196"/>
      <c r="J814" s="196"/>
      <c r="K814" s="196"/>
      <c r="L814" s="196"/>
      <c r="M814" s="196"/>
      <c r="N814" s="196"/>
      <c r="O814" s="196"/>
      <c r="P814" s="196"/>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c r="AQ814" s="196"/>
      <c r="AR814" s="196"/>
      <c r="AS814" s="196"/>
    </row>
    <row r="815" spans="1:45" ht="15.75" customHeight="1">
      <c r="A815" s="196"/>
      <c r="B815" s="196"/>
      <c r="C815" s="88"/>
      <c r="D815" s="88"/>
      <c r="E815" s="88"/>
      <c r="F815" s="196"/>
      <c r="G815" s="196"/>
      <c r="H815" s="196"/>
      <c r="I815" s="196"/>
      <c r="J815" s="196"/>
      <c r="K815" s="196"/>
      <c r="L815" s="196"/>
      <c r="M815" s="196"/>
      <c r="N815" s="196"/>
      <c r="O815" s="196"/>
      <c r="P815" s="196"/>
      <c r="Q815" s="196"/>
      <c r="R815" s="196"/>
      <c r="S815" s="196"/>
      <c r="T815" s="196"/>
      <c r="U815" s="196"/>
      <c r="V815" s="196"/>
      <c r="W815" s="196"/>
      <c r="X815" s="196"/>
      <c r="Y815" s="196"/>
      <c r="Z815" s="196"/>
      <c r="AA815" s="196"/>
      <c r="AB815" s="196"/>
      <c r="AC815" s="196"/>
      <c r="AD815" s="196"/>
      <c r="AE815" s="196"/>
      <c r="AF815" s="196"/>
      <c r="AG815" s="196"/>
      <c r="AH815" s="196"/>
      <c r="AI815" s="196"/>
      <c r="AJ815" s="196"/>
      <c r="AK815" s="196"/>
      <c r="AL815" s="196"/>
      <c r="AM815" s="196"/>
      <c r="AN815" s="196"/>
      <c r="AO815" s="196"/>
      <c r="AP815" s="196"/>
      <c r="AQ815" s="196"/>
      <c r="AR815" s="196"/>
      <c r="AS815" s="196"/>
    </row>
    <row r="816" spans="1:45" ht="15.75" customHeight="1">
      <c r="A816" s="196"/>
      <c r="B816" s="196"/>
      <c r="C816" s="88"/>
      <c r="D816" s="88"/>
      <c r="E816" s="88"/>
      <c r="F816" s="196"/>
      <c r="G816" s="196"/>
      <c r="H816" s="196"/>
      <c r="I816" s="196"/>
      <c r="J816" s="196"/>
      <c r="K816" s="196"/>
      <c r="L816" s="196"/>
      <c r="M816" s="196"/>
      <c r="N816" s="196"/>
      <c r="O816" s="196"/>
      <c r="P816" s="196"/>
      <c r="Q816" s="196"/>
      <c r="R816" s="196"/>
      <c r="S816" s="196"/>
      <c r="T816" s="196"/>
      <c r="U816" s="196"/>
      <c r="V816" s="196"/>
      <c r="W816" s="196"/>
      <c r="X816" s="196"/>
      <c r="Y816" s="196"/>
      <c r="Z816" s="196"/>
      <c r="AA816" s="196"/>
      <c r="AB816" s="196"/>
      <c r="AC816" s="196"/>
      <c r="AD816" s="196"/>
      <c r="AE816" s="196"/>
      <c r="AF816" s="196"/>
      <c r="AG816" s="196"/>
      <c r="AH816" s="196"/>
      <c r="AI816" s="196"/>
      <c r="AJ816" s="196"/>
      <c r="AK816" s="196"/>
      <c r="AL816" s="196"/>
      <c r="AM816" s="196"/>
      <c r="AN816" s="196"/>
      <c r="AO816" s="196"/>
      <c r="AP816" s="196"/>
      <c r="AQ816" s="196"/>
      <c r="AR816" s="196"/>
      <c r="AS816" s="196"/>
    </row>
    <row r="817" spans="1:45" ht="15.75" customHeight="1">
      <c r="A817" s="196"/>
      <c r="B817" s="196"/>
      <c r="C817" s="88"/>
      <c r="D817" s="88"/>
      <c r="E817" s="88"/>
      <c r="F817" s="196"/>
      <c r="G817" s="196"/>
      <c r="H817" s="196"/>
      <c r="I817" s="196"/>
      <c r="J817" s="196"/>
      <c r="K817" s="196"/>
      <c r="L817" s="196"/>
      <c r="M817" s="196"/>
      <c r="N817" s="196"/>
      <c r="O817" s="196"/>
      <c r="P817" s="196"/>
      <c r="Q817" s="196"/>
      <c r="R817" s="196"/>
      <c r="S817" s="196"/>
      <c r="T817" s="196"/>
      <c r="U817" s="196"/>
      <c r="V817" s="196"/>
      <c r="W817" s="196"/>
      <c r="X817" s="196"/>
      <c r="Y817" s="196"/>
      <c r="Z817" s="196"/>
      <c r="AA817" s="196"/>
      <c r="AB817" s="196"/>
      <c r="AC817" s="196"/>
      <c r="AD817" s="196"/>
      <c r="AE817" s="196"/>
      <c r="AF817" s="196"/>
      <c r="AG817" s="196"/>
      <c r="AH817" s="196"/>
      <c r="AI817" s="196"/>
      <c r="AJ817" s="196"/>
      <c r="AK817" s="196"/>
      <c r="AL817" s="196"/>
      <c r="AM817" s="196"/>
      <c r="AN817" s="196"/>
      <c r="AO817" s="196"/>
      <c r="AP817" s="196"/>
      <c r="AQ817" s="196"/>
      <c r="AR817" s="196"/>
      <c r="AS817" s="196"/>
    </row>
    <row r="818" spans="1:45" ht="15.75" customHeight="1">
      <c r="A818" s="196"/>
      <c r="B818" s="196"/>
      <c r="C818" s="88"/>
      <c r="D818" s="88"/>
      <c r="E818" s="88"/>
      <c r="F818" s="196"/>
      <c r="G818" s="196"/>
      <c r="H818" s="196"/>
      <c r="I818" s="196"/>
      <c r="J818" s="196"/>
      <c r="K818" s="196"/>
      <c r="L818" s="196"/>
      <c r="M818" s="196"/>
      <c r="N818" s="196"/>
      <c r="O818" s="196"/>
      <c r="P818" s="196"/>
      <c r="Q818" s="196"/>
      <c r="R818" s="196"/>
      <c r="S818" s="196"/>
      <c r="T818" s="196"/>
      <c r="U818" s="196"/>
      <c r="V818" s="196"/>
      <c r="W818" s="196"/>
      <c r="X818" s="196"/>
      <c r="Y818" s="196"/>
      <c r="Z818" s="196"/>
      <c r="AA818" s="196"/>
      <c r="AB818" s="196"/>
      <c r="AC818" s="196"/>
      <c r="AD818" s="196"/>
      <c r="AE818" s="196"/>
      <c r="AF818" s="196"/>
      <c r="AG818" s="196"/>
      <c r="AH818" s="196"/>
      <c r="AI818" s="196"/>
      <c r="AJ818" s="196"/>
      <c r="AK818" s="196"/>
      <c r="AL818" s="196"/>
      <c r="AM818" s="196"/>
      <c r="AN818" s="196"/>
      <c r="AO818" s="196"/>
      <c r="AP818" s="196"/>
      <c r="AQ818" s="196"/>
      <c r="AR818" s="196"/>
      <c r="AS818" s="196"/>
    </row>
    <row r="819" spans="1:45" ht="15.75" customHeight="1">
      <c r="A819" s="196"/>
      <c r="B819" s="196"/>
      <c r="C819" s="88"/>
      <c r="D819" s="88"/>
      <c r="E819" s="88"/>
      <c r="F819" s="196"/>
      <c r="G819" s="196"/>
      <c r="H819" s="196"/>
      <c r="I819" s="196"/>
      <c r="J819" s="196"/>
      <c r="K819" s="196"/>
      <c r="L819" s="196"/>
      <c r="M819" s="196"/>
      <c r="N819" s="196"/>
      <c r="O819" s="196"/>
      <c r="P819" s="196"/>
      <c r="Q819" s="196"/>
      <c r="R819" s="196"/>
      <c r="S819" s="196"/>
      <c r="T819" s="196"/>
      <c r="U819" s="196"/>
      <c r="V819" s="196"/>
      <c r="W819" s="196"/>
      <c r="X819" s="196"/>
      <c r="Y819" s="196"/>
      <c r="Z819" s="196"/>
      <c r="AA819" s="196"/>
      <c r="AB819" s="196"/>
      <c r="AC819" s="196"/>
      <c r="AD819" s="196"/>
      <c r="AE819" s="196"/>
      <c r="AF819" s="196"/>
      <c r="AG819" s="196"/>
      <c r="AH819" s="196"/>
      <c r="AI819" s="196"/>
      <c r="AJ819" s="196"/>
      <c r="AK819" s="196"/>
      <c r="AL819" s="196"/>
      <c r="AM819" s="196"/>
      <c r="AN819" s="196"/>
      <c r="AO819" s="196"/>
      <c r="AP819" s="196"/>
      <c r="AQ819" s="196"/>
      <c r="AR819" s="196"/>
      <c r="AS819" s="196"/>
    </row>
    <row r="820" spans="1:45" ht="15.75" customHeight="1">
      <c r="A820" s="196"/>
      <c r="B820" s="196"/>
      <c r="C820" s="88"/>
      <c r="D820" s="88"/>
      <c r="E820" s="88"/>
      <c r="F820" s="196"/>
      <c r="G820" s="196"/>
      <c r="H820" s="196"/>
      <c r="I820" s="196"/>
      <c r="J820" s="196"/>
      <c r="K820" s="196"/>
      <c r="L820" s="196"/>
      <c r="M820" s="196"/>
      <c r="N820" s="196"/>
      <c r="O820" s="196"/>
      <c r="P820" s="196"/>
      <c r="Q820" s="196"/>
      <c r="R820" s="196"/>
      <c r="S820" s="196"/>
      <c r="T820" s="196"/>
      <c r="U820" s="196"/>
      <c r="V820" s="196"/>
      <c r="W820" s="196"/>
      <c r="X820" s="196"/>
      <c r="Y820" s="196"/>
      <c r="Z820" s="196"/>
      <c r="AA820" s="196"/>
      <c r="AB820" s="196"/>
      <c r="AC820" s="196"/>
      <c r="AD820" s="196"/>
      <c r="AE820" s="196"/>
      <c r="AF820" s="196"/>
      <c r="AG820" s="196"/>
      <c r="AH820" s="196"/>
      <c r="AI820" s="196"/>
      <c r="AJ820" s="196"/>
      <c r="AK820" s="196"/>
      <c r="AL820" s="196"/>
      <c r="AM820" s="196"/>
      <c r="AN820" s="196"/>
      <c r="AO820" s="196"/>
      <c r="AP820" s="196"/>
      <c r="AQ820" s="196"/>
      <c r="AR820" s="196"/>
      <c r="AS820" s="196"/>
    </row>
    <row r="821" spans="1:45" ht="15.75" customHeight="1">
      <c r="A821" s="196"/>
      <c r="B821" s="196"/>
      <c r="C821" s="88"/>
      <c r="D821" s="88"/>
      <c r="E821" s="88"/>
      <c r="F821" s="196"/>
      <c r="G821" s="196"/>
      <c r="H821" s="196"/>
      <c r="I821" s="196"/>
      <c r="J821" s="196"/>
      <c r="K821" s="196"/>
      <c r="L821" s="196"/>
      <c r="M821" s="196"/>
      <c r="N821" s="196"/>
      <c r="O821" s="196"/>
      <c r="P821" s="196"/>
      <c r="Q821" s="196"/>
      <c r="R821" s="196"/>
      <c r="S821" s="196"/>
      <c r="T821" s="196"/>
      <c r="U821" s="196"/>
      <c r="V821" s="196"/>
      <c r="W821" s="196"/>
      <c r="X821" s="196"/>
      <c r="Y821" s="196"/>
      <c r="Z821" s="196"/>
      <c r="AA821" s="196"/>
      <c r="AB821" s="196"/>
      <c r="AC821" s="196"/>
      <c r="AD821" s="196"/>
      <c r="AE821" s="196"/>
      <c r="AF821" s="196"/>
      <c r="AG821" s="196"/>
      <c r="AH821" s="196"/>
      <c r="AI821" s="196"/>
      <c r="AJ821" s="196"/>
      <c r="AK821" s="196"/>
      <c r="AL821" s="196"/>
      <c r="AM821" s="196"/>
      <c r="AN821" s="196"/>
      <c r="AO821" s="196"/>
      <c r="AP821" s="196"/>
      <c r="AQ821" s="196"/>
      <c r="AR821" s="196"/>
      <c r="AS821" s="196"/>
    </row>
    <row r="822" spans="1:45" ht="15.75" customHeight="1">
      <c r="A822" s="196"/>
      <c r="B822" s="196"/>
      <c r="C822" s="88"/>
      <c r="D822" s="88"/>
      <c r="E822" s="88"/>
      <c r="F822" s="196"/>
      <c r="G822" s="196"/>
      <c r="H822" s="196"/>
      <c r="I822" s="196"/>
      <c r="J822" s="196"/>
      <c r="K822" s="196"/>
      <c r="L822" s="196"/>
      <c r="M822" s="196"/>
      <c r="N822" s="196"/>
      <c r="O822" s="196"/>
      <c r="P822" s="196"/>
      <c r="Q822" s="196"/>
      <c r="R822" s="196"/>
      <c r="S822" s="196"/>
      <c r="T822" s="196"/>
      <c r="U822" s="196"/>
      <c r="V822" s="196"/>
      <c r="W822" s="196"/>
      <c r="X822" s="196"/>
      <c r="Y822" s="196"/>
      <c r="Z822" s="196"/>
      <c r="AA822" s="196"/>
      <c r="AB822" s="196"/>
      <c r="AC822" s="196"/>
      <c r="AD822" s="196"/>
      <c r="AE822" s="196"/>
      <c r="AF822" s="196"/>
      <c r="AG822" s="196"/>
      <c r="AH822" s="196"/>
      <c r="AI822" s="196"/>
      <c r="AJ822" s="196"/>
      <c r="AK822" s="196"/>
      <c r="AL822" s="196"/>
      <c r="AM822" s="196"/>
      <c r="AN822" s="196"/>
      <c r="AO822" s="196"/>
      <c r="AP822" s="196"/>
      <c r="AQ822" s="196"/>
      <c r="AR822" s="196"/>
      <c r="AS822" s="196"/>
    </row>
    <row r="823" spans="1:45" ht="15.75" customHeight="1">
      <c r="A823" s="196"/>
      <c r="B823" s="196"/>
      <c r="C823" s="88"/>
      <c r="D823" s="88"/>
      <c r="E823" s="88"/>
      <c r="F823" s="196"/>
      <c r="G823" s="196"/>
      <c r="H823" s="196"/>
      <c r="I823" s="196"/>
      <c r="J823" s="196"/>
      <c r="K823" s="196"/>
      <c r="L823" s="196"/>
      <c r="M823" s="196"/>
      <c r="N823" s="196"/>
      <c r="O823" s="196"/>
      <c r="P823" s="196"/>
      <c r="Q823" s="196"/>
      <c r="R823" s="196"/>
      <c r="S823" s="196"/>
      <c r="T823" s="196"/>
      <c r="U823" s="196"/>
      <c r="V823" s="196"/>
      <c r="W823" s="196"/>
      <c r="X823" s="196"/>
      <c r="Y823" s="196"/>
      <c r="Z823" s="196"/>
      <c r="AA823" s="196"/>
      <c r="AB823" s="196"/>
      <c r="AC823" s="196"/>
      <c r="AD823" s="196"/>
      <c r="AE823" s="196"/>
      <c r="AF823" s="196"/>
      <c r="AG823" s="196"/>
      <c r="AH823" s="196"/>
      <c r="AI823" s="196"/>
      <c r="AJ823" s="196"/>
      <c r="AK823" s="196"/>
      <c r="AL823" s="196"/>
      <c r="AM823" s="196"/>
      <c r="AN823" s="196"/>
      <c r="AO823" s="196"/>
      <c r="AP823" s="196"/>
      <c r="AQ823" s="196"/>
      <c r="AR823" s="196"/>
      <c r="AS823" s="196"/>
    </row>
    <row r="824" spans="1:45" ht="15.75" customHeight="1">
      <c r="A824" s="196"/>
      <c r="B824" s="196"/>
      <c r="C824" s="88"/>
      <c r="D824" s="88"/>
      <c r="E824" s="88"/>
      <c r="F824" s="196"/>
      <c r="G824" s="196"/>
      <c r="H824" s="196"/>
      <c r="I824" s="196"/>
      <c r="J824" s="196"/>
      <c r="K824" s="196"/>
      <c r="L824" s="196"/>
      <c r="M824" s="196"/>
      <c r="N824" s="196"/>
      <c r="O824" s="196"/>
      <c r="P824" s="196"/>
      <c r="Q824" s="196"/>
      <c r="R824" s="196"/>
      <c r="S824" s="196"/>
      <c r="T824" s="196"/>
      <c r="U824" s="196"/>
      <c r="V824" s="196"/>
      <c r="W824" s="196"/>
      <c r="X824" s="196"/>
      <c r="Y824" s="196"/>
      <c r="Z824" s="196"/>
      <c r="AA824" s="196"/>
      <c r="AB824" s="196"/>
      <c r="AC824" s="196"/>
      <c r="AD824" s="196"/>
      <c r="AE824" s="196"/>
      <c r="AF824" s="196"/>
      <c r="AG824" s="196"/>
      <c r="AH824" s="196"/>
      <c r="AI824" s="196"/>
      <c r="AJ824" s="196"/>
      <c r="AK824" s="196"/>
      <c r="AL824" s="196"/>
      <c r="AM824" s="196"/>
      <c r="AN824" s="196"/>
      <c r="AO824" s="196"/>
      <c r="AP824" s="196"/>
      <c r="AQ824" s="196"/>
      <c r="AR824" s="196"/>
      <c r="AS824" s="196"/>
    </row>
    <row r="825" spans="1:45" ht="15.75" customHeight="1">
      <c r="A825" s="196"/>
      <c r="B825" s="196"/>
      <c r="C825" s="88"/>
      <c r="D825" s="88"/>
      <c r="E825" s="88"/>
      <c r="F825" s="196"/>
      <c r="G825" s="196"/>
      <c r="H825" s="196"/>
      <c r="I825" s="196"/>
      <c r="J825" s="196"/>
      <c r="K825" s="196"/>
      <c r="L825" s="196"/>
      <c r="M825" s="196"/>
      <c r="N825" s="196"/>
      <c r="O825" s="196"/>
      <c r="P825" s="196"/>
      <c r="Q825" s="196"/>
      <c r="R825" s="196"/>
      <c r="S825" s="196"/>
      <c r="T825" s="196"/>
      <c r="U825" s="196"/>
      <c r="V825" s="196"/>
      <c r="W825" s="196"/>
      <c r="X825" s="196"/>
      <c r="Y825" s="196"/>
      <c r="Z825" s="196"/>
      <c r="AA825" s="196"/>
      <c r="AB825" s="196"/>
      <c r="AC825" s="196"/>
      <c r="AD825" s="196"/>
      <c r="AE825" s="196"/>
      <c r="AF825" s="196"/>
      <c r="AG825" s="196"/>
      <c r="AH825" s="196"/>
      <c r="AI825" s="196"/>
      <c r="AJ825" s="196"/>
      <c r="AK825" s="196"/>
      <c r="AL825" s="196"/>
      <c r="AM825" s="196"/>
      <c r="AN825" s="196"/>
      <c r="AO825" s="196"/>
      <c r="AP825" s="196"/>
      <c r="AQ825" s="196"/>
      <c r="AR825" s="196"/>
      <c r="AS825" s="196"/>
    </row>
    <row r="826" spans="1:45" ht="15.75" customHeight="1">
      <c r="A826" s="196"/>
      <c r="B826" s="196"/>
      <c r="C826" s="88"/>
      <c r="D826" s="88"/>
      <c r="E826" s="88"/>
      <c r="F826" s="196"/>
      <c r="G826" s="196"/>
      <c r="H826" s="196"/>
      <c r="I826" s="196"/>
      <c r="J826" s="196"/>
      <c r="K826" s="196"/>
      <c r="L826" s="196"/>
      <c r="M826" s="196"/>
      <c r="N826" s="196"/>
      <c r="O826" s="196"/>
      <c r="P826" s="196"/>
      <c r="Q826" s="196"/>
      <c r="R826" s="196"/>
      <c r="S826" s="196"/>
      <c r="T826" s="196"/>
      <c r="U826" s="196"/>
      <c r="V826" s="196"/>
      <c r="W826" s="196"/>
      <c r="X826" s="196"/>
      <c r="Y826" s="196"/>
      <c r="Z826" s="196"/>
      <c r="AA826" s="196"/>
      <c r="AB826" s="196"/>
      <c r="AC826" s="196"/>
      <c r="AD826" s="196"/>
      <c r="AE826" s="196"/>
      <c r="AF826" s="196"/>
      <c r="AG826" s="196"/>
      <c r="AH826" s="196"/>
      <c r="AI826" s="196"/>
      <c r="AJ826" s="196"/>
      <c r="AK826" s="196"/>
      <c r="AL826" s="196"/>
      <c r="AM826" s="196"/>
      <c r="AN826" s="196"/>
      <c r="AO826" s="196"/>
      <c r="AP826" s="196"/>
      <c r="AQ826" s="196"/>
      <c r="AR826" s="196"/>
      <c r="AS826" s="196"/>
    </row>
    <row r="827" spans="1:45" ht="15.75" customHeight="1">
      <c r="A827" s="196"/>
      <c r="B827" s="196"/>
      <c r="C827" s="88"/>
      <c r="D827" s="88"/>
      <c r="E827" s="88"/>
      <c r="F827" s="196"/>
      <c r="G827" s="196"/>
      <c r="H827" s="196"/>
      <c r="I827" s="196"/>
      <c r="J827" s="196"/>
      <c r="K827" s="196"/>
      <c r="L827" s="196"/>
      <c r="M827" s="196"/>
      <c r="N827" s="196"/>
      <c r="O827" s="196"/>
      <c r="P827" s="196"/>
      <c r="Q827" s="196"/>
      <c r="R827" s="196"/>
      <c r="S827" s="196"/>
      <c r="T827" s="196"/>
      <c r="U827" s="196"/>
      <c r="V827" s="196"/>
      <c r="W827" s="196"/>
      <c r="X827" s="196"/>
      <c r="Y827" s="196"/>
      <c r="Z827" s="196"/>
      <c r="AA827" s="196"/>
      <c r="AB827" s="196"/>
      <c r="AC827" s="196"/>
      <c r="AD827" s="196"/>
      <c r="AE827" s="196"/>
      <c r="AF827" s="196"/>
      <c r="AG827" s="196"/>
      <c r="AH827" s="196"/>
      <c r="AI827" s="196"/>
      <c r="AJ827" s="196"/>
      <c r="AK827" s="196"/>
      <c r="AL827" s="196"/>
      <c r="AM827" s="196"/>
      <c r="AN827" s="196"/>
      <c r="AO827" s="196"/>
      <c r="AP827" s="196"/>
      <c r="AQ827" s="196"/>
      <c r="AR827" s="196"/>
      <c r="AS827" s="196"/>
    </row>
    <row r="828" spans="1:45" ht="15.75" customHeight="1">
      <c r="A828" s="196"/>
      <c r="B828" s="196"/>
      <c r="C828" s="88"/>
      <c r="D828" s="88"/>
      <c r="E828" s="88"/>
      <c r="F828" s="196"/>
      <c r="G828" s="196"/>
      <c r="H828" s="196"/>
      <c r="I828" s="196"/>
      <c r="J828" s="196"/>
      <c r="K828" s="196"/>
      <c r="L828" s="196"/>
      <c r="M828" s="196"/>
      <c r="N828" s="196"/>
      <c r="O828" s="196"/>
      <c r="P828" s="196"/>
      <c r="Q828" s="196"/>
      <c r="R828" s="196"/>
      <c r="S828" s="196"/>
      <c r="T828" s="196"/>
      <c r="U828" s="196"/>
      <c r="V828" s="196"/>
      <c r="W828" s="196"/>
      <c r="X828" s="196"/>
      <c r="Y828" s="196"/>
      <c r="Z828" s="196"/>
      <c r="AA828" s="196"/>
      <c r="AB828" s="196"/>
      <c r="AC828" s="196"/>
      <c r="AD828" s="196"/>
      <c r="AE828" s="196"/>
      <c r="AF828" s="196"/>
      <c r="AG828" s="196"/>
      <c r="AH828" s="196"/>
      <c r="AI828" s="196"/>
      <c r="AJ828" s="196"/>
      <c r="AK828" s="196"/>
      <c r="AL828" s="196"/>
      <c r="AM828" s="196"/>
      <c r="AN828" s="196"/>
      <c r="AO828" s="196"/>
      <c r="AP828" s="196"/>
      <c r="AQ828" s="196"/>
      <c r="AR828" s="196"/>
      <c r="AS828" s="196"/>
    </row>
    <row r="829" spans="1:45" ht="15.75" customHeight="1">
      <c r="A829" s="196"/>
      <c r="B829" s="196"/>
      <c r="C829" s="88"/>
      <c r="D829" s="88"/>
      <c r="E829" s="88"/>
      <c r="F829" s="196"/>
      <c r="G829" s="196"/>
      <c r="H829" s="196"/>
      <c r="I829" s="196"/>
      <c r="J829" s="196"/>
      <c r="K829" s="196"/>
      <c r="L829" s="196"/>
      <c r="M829" s="196"/>
      <c r="N829" s="196"/>
      <c r="O829" s="196"/>
      <c r="P829" s="196"/>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c r="AN829" s="196"/>
      <c r="AO829" s="196"/>
      <c r="AP829" s="196"/>
      <c r="AQ829" s="196"/>
      <c r="AR829" s="196"/>
      <c r="AS829" s="196"/>
    </row>
    <row r="830" spans="1:45" ht="15.75" customHeight="1">
      <c r="A830" s="196"/>
      <c r="B830" s="196"/>
      <c r="C830" s="88"/>
      <c r="D830" s="88"/>
      <c r="E830" s="88"/>
      <c r="F830" s="196"/>
      <c r="G830" s="196"/>
      <c r="H830" s="196"/>
      <c r="I830" s="196"/>
      <c r="J830" s="196"/>
      <c r="K830" s="196"/>
      <c r="L830" s="196"/>
      <c r="M830" s="196"/>
      <c r="N830" s="196"/>
      <c r="O830" s="196"/>
      <c r="P830" s="196"/>
      <c r="Q830" s="196"/>
      <c r="R830" s="196"/>
      <c r="S830" s="196"/>
      <c r="T830" s="196"/>
      <c r="U830" s="196"/>
      <c r="V830" s="196"/>
      <c r="W830" s="196"/>
      <c r="X830" s="196"/>
      <c r="Y830" s="196"/>
      <c r="Z830" s="196"/>
      <c r="AA830" s="196"/>
      <c r="AB830" s="196"/>
      <c r="AC830" s="196"/>
      <c r="AD830" s="196"/>
      <c r="AE830" s="196"/>
      <c r="AF830" s="196"/>
      <c r="AG830" s="196"/>
      <c r="AH830" s="196"/>
      <c r="AI830" s="196"/>
      <c r="AJ830" s="196"/>
      <c r="AK830" s="196"/>
      <c r="AL830" s="196"/>
      <c r="AM830" s="196"/>
      <c r="AN830" s="196"/>
      <c r="AO830" s="196"/>
      <c r="AP830" s="196"/>
      <c r="AQ830" s="196"/>
      <c r="AR830" s="196"/>
      <c r="AS830" s="196"/>
    </row>
    <row r="831" spans="1:45" ht="15.75" customHeight="1">
      <c r="A831" s="196"/>
      <c r="B831" s="196"/>
      <c r="C831" s="88"/>
      <c r="D831" s="88"/>
      <c r="E831" s="88"/>
      <c r="F831" s="196"/>
      <c r="G831" s="196"/>
      <c r="H831" s="196"/>
      <c r="I831" s="196"/>
      <c r="J831" s="196"/>
      <c r="K831" s="196"/>
      <c r="L831" s="196"/>
      <c r="M831" s="196"/>
      <c r="N831" s="196"/>
      <c r="O831" s="196"/>
      <c r="P831" s="196"/>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c r="AQ831" s="196"/>
      <c r="AR831" s="196"/>
      <c r="AS831" s="196"/>
    </row>
    <row r="832" spans="1:45" ht="15.75" customHeight="1">
      <c r="A832" s="196"/>
      <c r="B832" s="196"/>
      <c r="C832" s="88"/>
      <c r="D832" s="88"/>
      <c r="E832" s="88"/>
      <c r="F832" s="196"/>
      <c r="G832" s="196"/>
      <c r="H832" s="196"/>
      <c r="I832" s="196"/>
      <c r="J832" s="196"/>
      <c r="K832" s="196"/>
      <c r="L832" s="196"/>
      <c r="M832" s="196"/>
      <c r="N832" s="196"/>
      <c r="O832" s="196"/>
      <c r="P832" s="196"/>
      <c r="Q832" s="196"/>
      <c r="R832" s="196"/>
      <c r="S832" s="196"/>
      <c r="T832" s="196"/>
      <c r="U832" s="196"/>
      <c r="V832" s="196"/>
      <c r="W832" s="196"/>
      <c r="X832" s="196"/>
      <c r="Y832" s="196"/>
      <c r="Z832" s="196"/>
      <c r="AA832" s="196"/>
      <c r="AB832" s="196"/>
      <c r="AC832" s="196"/>
      <c r="AD832" s="196"/>
      <c r="AE832" s="196"/>
      <c r="AF832" s="196"/>
      <c r="AG832" s="196"/>
      <c r="AH832" s="196"/>
      <c r="AI832" s="196"/>
      <c r="AJ832" s="196"/>
      <c r="AK832" s="196"/>
      <c r="AL832" s="196"/>
      <c r="AM832" s="196"/>
      <c r="AN832" s="196"/>
      <c r="AO832" s="196"/>
      <c r="AP832" s="196"/>
      <c r="AQ832" s="196"/>
      <c r="AR832" s="196"/>
      <c r="AS832" s="196"/>
    </row>
    <row r="833" spans="1:45" ht="15.75" customHeight="1">
      <c r="A833" s="196"/>
      <c r="B833" s="196"/>
      <c r="C833" s="88"/>
      <c r="D833" s="88"/>
      <c r="E833" s="88"/>
      <c r="F833" s="196"/>
      <c r="G833" s="196"/>
      <c r="H833" s="196"/>
      <c r="I833" s="196"/>
      <c r="J833" s="196"/>
      <c r="K833" s="196"/>
      <c r="L833" s="196"/>
      <c r="M833" s="196"/>
      <c r="N833" s="196"/>
      <c r="O833" s="196"/>
      <c r="P833" s="196"/>
      <c r="Q833" s="196"/>
      <c r="R833" s="196"/>
      <c r="S833" s="196"/>
      <c r="T833" s="196"/>
      <c r="U833" s="196"/>
      <c r="V833" s="196"/>
      <c r="W833" s="196"/>
      <c r="X833" s="196"/>
      <c r="Y833" s="196"/>
      <c r="Z833" s="196"/>
      <c r="AA833" s="196"/>
      <c r="AB833" s="196"/>
      <c r="AC833" s="196"/>
      <c r="AD833" s="196"/>
      <c r="AE833" s="196"/>
      <c r="AF833" s="196"/>
      <c r="AG833" s="196"/>
      <c r="AH833" s="196"/>
      <c r="AI833" s="196"/>
      <c r="AJ833" s="196"/>
      <c r="AK833" s="196"/>
      <c r="AL833" s="196"/>
      <c r="AM833" s="196"/>
      <c r="AN833" s="196"/>
      <c r="AO833" s="196"/>
      <c r="AP833" s="196"/>
      <c r="AQ833" s="196"/>
      <c r="AR833" s="196"/>
      <c r="AS833" s="196"/>
    </row>
    <row r="834" spans="1:45" ht="15.75" customHeight="1">
      <c r="A834" s="196"/>
      <c r="B834" s="196"/>
      <c r="C834" s="88"/>
      <c r="D834" s="88"/>
      <c r="E834" s="88"/>
      <c r="F834" s="196"/>
      <c r="G834" s="196"/>
      <c r="H834" s="196"/>
      <c r="I834" s="196"/>
      <c r="J834" s="196"/>
      <c r="K834" s="196"/>
      <c r="L834" s="196"/>
      <c r="M834" s="196"/>
      <c r="N834" s="196"/>
      <c r="O834" s="196"/>
      <c r="P834" s="196"/>
      <c r="Q834" s="196"/>
      <c r="R834" s="196"/>
      <c r="S834" s="196"/>
      <c r="T834" s="196"/>
      <c r="U834" s="196"/>
      <c r="V834" s="196"/>
      <c r="W834" s="196"/>
      <c r="X834" s="196"/>
      <c r="Y834" s="196"/>
      <c r="Z834" s="196"/>
      <c r="AA834" s="196"/>
      <c r="AB834" s="196"/>
      <c r="AC834" s="196"/>
      <c r="AD834" s="196"/>
      <c r="AE834" s="196"/>
      <c r="AF834" s="196"/>
      <c r="AG834" s="196"/>
      <c r="AH834" s="196"/>
      <c r="AI834" s="196"/>
      <c r="AJ834" s="196"/>
      <c r="AK834" s="196"/>
      <c r="AL834" s="196"/>
      <c r="AM834" s="196"/>
      <c r="AN834" s="196"/>
      <c r="AO834" s="196"/>
      <c r="AP834" s="196"/>
      <c r="AQ834" s="196"/>
      <c r="AR834" s="196"/>
      <c r="AS834" s="196"/>
    </row>
    <row r="835" spans="1:45" ht="15.75" customHeight="1">
      <c r="A835" s="196"/>
      <c r="B835" s="196"/>
      <c r="C835" s="88"/>
      <c r="D835" s="88"/>
      <c r="E835" s="88"/>
      <c r="F835" s="196"/>
      <c r="G835" s="196"/>
      <c r="H835" s="196"/>
      <c r="I835" s="196"/>
      <c r="J835" s="196"/>
      <c r="K835" s="196"/>
      <c r="L835" s="196"/>
      <c r="M835" s="196"/>
      <c r="N835" s="196"/>
      <c r="O835" s="196"/>
      <c r="P835" s="196"/>
      <c r="Q835" s="196"/>
      <c r="R835" s="196"/>
      <c r="S835" s="196"/>
      <c r="T835" s="196"/>
      <c r="U835" s="196"/>
      <c r="V835" s="196"/>
      <c r="W835" s="196"/>
      <c r="X835" s="196"/>
      <c r="Y835" s="196"/>
      <c r="Z835" s="196"/>
      <c r="AA835" s="196"/>
      <c r="AB835" s="196"/>
      <c r="AC835" s="196"/>
      <c r="AD835" s="196"/>
      <c r="AE835" s="196"/>
      <c r="AF835" s="196"/>
      <c r="AG835" s="196"/>
      <c r="AH835" s="196"/>
      <c r="AI835" s="196"/>
      <c r="AJ835" s="196"/>
      <c r="AK835" s="196"/>
      <c r="AL835" s="196"/>
      <c r="AM835" s="196"/>
      <c r="AN835" s="196"/>
      <c r="AO835" s="196"/>
      <c r="AP835" s="196"/>
      <c r="AQ835" s="196"/>
      <c r="AR835" s="196"/>
      <c r="AS835" s="196"/>
    </row>
    <row r="836" spans="1:45" ht="15.75" customHeight="1">
      <c r="A836" s="196"/>
      <c r="B836" s="196"/>
      <c r="C836" s="88"/>
      <c r="D836" s="88"/>
      <c r="E836" s="88"/>
      <c r="F836" s="196"/>
      <c r="G836" s="196"/>
      <c r="H836" s="196"/>
      <c r="I836" s="196"/>
      <c r="J836" s="196"/>
      <c r="K836" s="196"/>
      <c r="L836" s="196"/>
      <c r="M836" s="196"/>
      <c r="N836" s="196"/>
      <c r="O836" s="196"/>
      <c r="P836" s="196"/>
      <c r="Q836" s="196"/>
      <c r="R836" s="196"/>
      <c r="S836" s="196"/>
      <c r="T836" s="196"/>
      <c r="U836" s="196"/>
      <c r="V836" s="196"/>
      <c r="W836" s="196"/>
      <c r="X836" s="196"/>
      <c r="Y836" s="196"/>
      <c r="Z836" s="196"/>
      <c r="AA836" s="196"/>
      <c r="AB836" s="196"/>
      <c r="AC836" s="196"/>
      <c r="AD836" s="196"/>
      <c r="AE836" s="196"/>
      <c r="AF836" s="196"/>
      <c r="AG836" s="196"/>
      <c r="AH836" s="196"/>
      <c r="AI836" s="196"/>
      <c r="AJ836" s="196"/>
      <c r="AK836" s="196"/>
      <c r="AL836" s="196"/>
      <c r="AM836" s="196"/>
      <c r="AN836" s="196"/>
      <c r="AO836" s="196"/>
      <c r="AP836" s="196"/>
      <c r="AQ836" s="196"/>
      <c r="AR836" s="196"/>
      <c r="AS836" s="196"/>
    </row>
    <row r="837" spans="1:45" ht="15.75" customHeight="1">
      <c r="A837" s="196"/>
      <c r="B837" s="196"/>
      <c r="C837" s="88"/>
      <c r="D837" s="88"/>
      <c r="E837" s="88"/>
      <c r="F837" s="196"/>
      <c r="G837" s="196"/>
      <c r="H837" s="196"/>
      <c r="I837" s="196"/>
      <c r="J837" s="196"/>
      <c r="K837" s="196"/>
      <c r="L837" s="196"/>
      <c r="M837" s="196"/>
      <c r="N837" s="196"/>
      <c r="O837" s="196"/>
      <c r="P837" s="196"/>
      <c r="Q837" s="196"/>
      <c r="R837" s="196"/>
      <c r="S837" s="196"/>
      <c r="T837" s="196"/>
      <c r="U837" s="196"/>
      <c r="V837" s="196"/>
      <c r="W837" s="196"/>
      <c r="X837" s="196"/>
      <c r="Y837" s="196"/>
      <c r="Z837" s="196"/>
      <c r="AA837" s="196"/>
      <c r="AB837" s="196"/>
      <c r="AC837" s="196"/>
      <c r="AD837" s="196"/>
      <c r="AE837" s="196"/>
      <c r="AF837" s="196"/>
      <c r="AG837" s="196"/>
      <c r="AH837" s="196"/>
      <c r="AI837" s="196"/>
      <c r="AJ837" s="196"/>
      <c r="AK837" s="196"/>
      <c r="AL837" s="196"/>
      <c r="AM837" s="196"/>
      <c r="AN837" s="196"/>
      <c r="AO837" s="196"/>
      <c r="AP837" s="196"/>
      <c r="AQ837" s="196"/>
      <c r="AR837" s="196"/>
      <c r="AS837" s="196"/>
    </row>
    <row r="838" spans="1:45" ht="15.75" customHeight="1">
      <c r="A838" s="196"/>
      <c r="B838" s="196"/>
      <c r="C838" s="88"/>
      <c r="D838" s="88"/>
      <c r="E838" s="88"/>
      <c r="F838" s="196"/>
      <c r="G838" s="196"/>
      <c r="H838" s="196"/>
      <c r="I838" s="196"/>
      <c r="J838" s="196"/>
      <c r="K838" s="196"/>
      <c r="L838" s="196"/>
      <c r="M838" s="196"/>
      <c r="N838" s="196"/>
      <c r="O838" s="196"/>
      <c r="P838" s="196"/>
      <c r="Q838" s="196"/>
      <c r="R838" s="196"/>
      <c r="S838" s="196"/>
      <c r="T838" s="196"/>
      <c r="U838" s="196"/>
      <c r="V838" s="196"/>
      <c r="W838" s="196"/>
      <c r="X838" s="196"/>
      <c r="Y838" s="196"/>
      <c r="Z838" s="196"/>
      <c r="AA838" s="196"/>
      <c r="AB838" s="196"/>
      <c r="AC838" s="196"/>
      <c r="AD838" s="196"/>
      <c r="AE838" s="196"/>
      <c r="AF838" s="196"/>
      <c r="AG838" s="196"/>
      <c r="AH838" s="196"/>
      <c r="AI838" s="196"/>
      <c r="AJ838" s="196"/>
      <c r="AK838" s="196"/>
      <c r="AL838" s="196"/>
      <c r="AM838" s="196"/>
      <c r="AN838" s="196"/>
      <c r="AO838" s="196"/>
      <c r="AP838" s="196"/>
      <c r="AQ838" s="196"/>
      <c r="AR838" s="196"/>
      <c r="AS838" s="196"/>
    </row>
    <row r="839" spans="1:45" ht="15.75" customHeight="1">
      <c r="A839" s="196"/>
      <c r="B839" s="196"/>
      <c r="C839" s="88"/>
      <c r="D839" s="88"/>
      <c r="E839" s="88"/>
      <c r="F839" s="196"/>
      <c r="G839" s="196"/>
      <c r="H839" s="196"/>
      <c r="I839" s="196"/>
      <c r="J839" s="196"/>
      <c r="K839" s="196"/>
      <c r="L839" s="196"/>
      <c r="M839" s="196"/>
      <c r="N839" s="196"/>
      <c r="O839" s="196"/>
      <c r="P839" s="196"/>
      <c r="Q839" s="196"/>
      <c r="R839" s="196"/>
      <c r="S839" s="196"/>
      <c r="T839" s="196"/>
      <c r="U839" s="196"/>
      <c r="V839" s="196"/>
      <c r="W839" s="196"/>
      <c r="X839" s="196"/>
      <c r="Y839" s="196"/>
      <c r="Z839" s="196"/>
      <c r="AA839" s="196"/>
      <c r="AB839" s="196"/>
      <c r="AC839" s="196"/>
      <c r="AD839" s="196"/>
      <c r="AE839" s="196"/>
      <c r="AF839" s="196"/>
      <c r="AG839" s="196"/>
      <c r="AH839" s="196"/>
      <c r="AI839" s="196"/>
      <c r="AJ839" s="196"/>
      <c r="AK839" s="196"/>
      <c r="AL839" s="196"/>
      <c r="AM839" s="196"/>
      <c r="AN839" s="196"/>
      <c r="AO839" s="196"/>
      <c r="AP839" s="196"/>
      <c r="AQ839" s="196"/>
      <c r="AR839" s="196"/>
      <c r="AS839" s="196"/>
    </row>
    <row r="840" spans="1:45" ht="15.75" customHeight="1">
      <c r="A840" s="196"/>
      <c r="B840" s="196"/>
      <c r="C840" s="88"/>
      <c r="D840" s="88"/>
      <c r="E840" s="88"/>
      <c r="F840" s="196"/>
      <c r="G840" s="196"/>
      <c r="H840" s="196"/>
      <c r="I840" s="196"/>
      <c r="J840" s="196"/>
      <c r="K840" s="196"/>
      <c r="L840" s="196"/>
      <c r="M840" s="196"/>
      <c r="N840" s="196"/>
      <c r="O840" s="196"/>
      <c r="P840" s="196"/>
      <c r="Q840" s="196"/>
      <c r="R840" s="196"/>
      <c r="S840" s="196"/>
      <c r="T840" s="196"/>
      <c r="U840" s="196"/>
      <c r="V840" s="196"/>
      <c r="W840" s="196"/>
      <c r="X840" s="196"/>
      <c r="Y840" s="196"/>
      <c r="Z840" s="196"/>
      <c r="AA840" s="196"/>
      <c r="AB840" s="196"/>
      <c r="AC840" s="196"/>
      <c r="AD840" s="196"/>
      <c r="AE840" s="196"/>
      <c r="AF840" s="196"/>
      <c r="AG840" s="196"/>
      <c r="AH840" s="196"/>
      <c r="AI840" s="196"/>
      <c r="AJ840" s="196"/>
      <c r="AK840" s="196"/>
      <c r="AL840" s="196"/>
      <c r="AM840" s="196"/>
      <c r="AN840" s="196"/>
      <c r="AO840" s="196"/>
      <c r="AP840" s="196"/>
      <c r="AQ840" s="196"/>
      <c r="AR840" s="196"/>
      <c r="AS840" s="196"/>
    </row>
    <row r="841" spans="1:45" ht="15.75" customHeight="1">
      <c r="A841" s="196"/>
      <c r="B841" s="196"/>
      <c r="C841" s="88"/>
      <c r="D841" s="88"/>
      <c r="E841" s="88"/>
      <c r="F841" s="196"/>
      <c r="G841" s="196"/>
      <c r="H841" s="196"/>
      <c r="I841" s="196"/>
      <c r="J841" s="196"/>
      <c r="K841" s="196"/>
      <c r="L841" s="196"/>
      <c r="M841" s="196"/>
      <c r="N841" s="196"/>
      <c r="O841" s="196"/>
      <c r="P841" s="196"/>
      <c r="Q841" s="196"/>
      <c r="R841" s="196"/>
      <c r="S841" s="196"/>
      <c r="T841" s="196"/>
      <c r="U841" s="196"/>
      <c r="V841" s="196"/>
      <c r="W841" s="196"/>
      <c r="X841" s="196"/>
      <c r="Y841" s="196"/>
      <c r="Z841" s="196"/>
      <c r="AA841" s="196"/>
      <c r="AB841" s="196"/>
      <c r="AC841" s="196"/>
      <c r="AD841" s="196"/>
      <c r="AE841" s="196"/>
      <c r="AF841" s="196"/>
      <c r="AG841" s="196"/>
      <c r="AH841" s="196"/>
      <c r="AI841" s="196"/>
      <c r="AJ841" s="196"/>
      <c r="AK841" s="196"/>
      <c r="AL841" s="196"/>
      <c r="AM841" s="196"/>
      <c r="AN841" s="196"/>
      <c r="AO841" s="196"/>
      <c r="AP841" s="196"/>
      <c r="AQ841" s="196"/>
      <c r="AR841" s="196"/>
      <c r="AS841" s="196"/>
    </row>
    <row r="842" spans="1:45" ht="15.75" customHeight="1">
      <c r="A842" s="196"/>
      <c r="B842" s="196"/>
      <c r="C842" s="88"/>
      <c r="D842" s="88"/>
      <c r="E842" s="88"/>
      <c r="F842" s="196"/>
      <c r="G842" s="196"/>
      <c r="H842" s="196"/>
      <c r="I842" s="196"/>
      <c r="J842" s="196"/>
      <c r="K842" s="196"/>
      <c r="L842" s="196"/>
      <c r="M842" s="196"/>
      <c r="N842" s="196"/>
      <c r="O842" s="196"/>
      <c r="P842" s="196"/>
      <c r="Q842" s="196"/>
      <c r="R842" s="196"/>
      <c r="S842" s="196"/>
      <c r="T842" s="196"/>
      <c r="U842" s="196"/>
      <c r="V842" s="196"/>
      <c r="W842" s="196"/>
      <c r="X842" s="196"/>
      <c r="Y842" s="196"/>
      <c r="Z842" s="196"/>
      <c r="AA842" s="196"/>
      <c r="AB842" s="196"/>
      <c r="AC842" s="196"/>
      <c r="AD842" s="196"/>
      <c r="AE842" s="196"/>
      <c r="AF842" s="196"/>
      <c r="AG842" s="196"/>
      <c r="AH842" s="196"/>
      <c r="AI842" s="196"/>
      <c r="AJ842" s="196"/>
      <c r="AK842" s="196"/>
      <c r="AL842" s="196"/>
      <c r="AM842" s="196"/>
      <c r="AN842" s="196"/>
      <c r="AO842" s="196"/>
      <c r="AP842" s="196"/>
      <c r="AQ842" s="196"/>
      <c r="AR842" s="196"/>
      <c r="AS842" s="196"/>
    </row>
    <row r="843" spans="1:45" ht="15.75" customHeight="1">
      <c r="A843" s="196"/>
      <c r="B843" s="196"/>
      <c r="C843" s="88"/>
      <c r="D843" s="88"/>
      <c r="E843" s="88"/>
      <c r="F843" s="196"/>
      <c r="G843" s="196"/>
      <c r="H843" s="196"/>
      <c r="I843" s="196"/>
      <c r="J843" s="196"/>
      <c r="K843" s="196"/>
      <c r="L843" s="196"/>
      <c r="M843" s="196"/>
      <c r="N843" s="196"/>
      <c r="O843" s="196"/>
      <c r="P843" s="196"/>
      <c r="Q843" s="196"/>
      <c r="R843" s="196"/>
      <c r="S843" s="196"/>
      <c r="T843" s="196"/>
      <c r="U843" s="196"/>
      <c r="V843" s="196"/>
      <c r="W843" s="196"/>
      <c r="X843" s="196"/>
      <c r="Y843" s="196"/>
      <c r="Z843" s="196"/>
      <c r="AA843" s="196"/>
      <c r="AB843" s="196"/>
      <c r="AC843" s="196"/>
      <c r="AD843" s="196"/>
      <c r="AE843" s="196"/>
      <c r="AF843" s="196"/>
      <c r="AG843" s="196"/>
      <c r="AH843" s="196"/>
      <c r="AI843" s="196"/>
      <c r="AJ843" s="196"/>
      <c r="AK843" s="196"/>
      <c r="AL843" s="196"/>
      <c r="AM843" s="196"/>
      <c r="AN843" s="196"/>
      <c r="AO843" s="196"/>
      <c r="AP843" s="196"/>
      <c r="AQ843" s="196"/>
      <c r="AR843" s="196"/>
      <c r="AS843" s="196"/>
    </row>
    <row r="844" spans="1:45" ht="15.75" customHeight="1">
      <c r="A844" s="196"/>
      <c r="B844" s="196"/>
      <c r="C844" s="88"/>
      <c r="D844" s="88"/>
      <c r="E844" s="88"/>
      <c r="F844" s="196"/>
      <c r="G844" s="196"/>
      <c r="H844" s="196"/>
      <c r="I844" s="196"/>
      <c r="J844" s="196"/>
      <c r="K844" s="196"/>
      <c r="L844" s="196"/>
      <c r="M844" s="196"/>
      <c r="N844" s="196"/>
      <c r="O844" s="196"/>
      <c r="P844" s="196"/>
      <c r="Q844" s="196"/>
      <c r="R844" s="196"/>
      <c r="S844" s="196"/>
      <c r="T844" s="196"/>
      <c r="U844" s="196"/>
      <c r="V844" s="196"/>
      <c r="W844" s="196"/>
      <c r="X844" s="196"/>
      <c r="Y844" s="196"/>
      <c r="Z844" s="196"/>
      <c r="AA844" s="196"/>
      <c r="AB844" s="196"/>
      <c r="AC844" s="196"/>
      <c r="AD844" s="196"/>
      <c r="AE844" s="196"/>
      <c r="AF844" s="196"/>
      <c r="AG844" s="196"/>
      <c r="AH844" s="196"/>
      <c r="AI844" s="196"/>
      <c r="AJ844" s="196"/>
      <c r="AK844" s="196"/>
      <c r="AL844" s="196"/>
      <c r="AM844" s="196"/>
      <c r="AN844" s="196"/>
      <c r="AO844" s="196"/>
      <c r="AP844" s="196"/>
      <c r="AQ844" s="196"/>
      <c r="AR844" s="196"/>
      <c r="AS844" s="196"/>
    </row>
    <row r="845" spans="1:45" ht="15.75" customHeight="1">
      <c r="A845" s="196"/>
      <c r="B845" s="196"/>
      <c r="C845" s="88"/>
      <c r="D845" s="88"/>
      <c r="E845" s="88"/>
      <c r="F845" s="196"/>
      <c r="G845" s="196"/>
      <c r="H845" s="196"/>
      <c r="I845" s="196"/>
      <c r="J845" s="196"/>
      <c r="K845" s="196"/>
      <c r="L845" s="196"/>
      <c r="M845" s="196"/>
      <c r="N845" s="196"/>
      <c r="O845" s="196"/>
      <c r="P845" s="196"/>
      <c r="Q845" s="196"/>
      <c r="R845" s="196"/>
      <c r="S845" s="196"/>
      <c r="T845" s="196"/>
      <c r="U845" s="196"/>
      <c r="V845" s="196"/>
      <c r="W845" s="196"/>
      <c r="X845" s="196"/>
      <c r="Y845" s="196"/>
      <c r="Z845" s="196"/>
      <c r="AA845" s="196"/>
      <c r="AB845" s="196"/>
      <c r="AC845" s="196"/>
      <c r="AD845" s="196"/>
      <c r="AE845" s="196"/>
      <c r="AF845" s="196"/>
      <c r="AG845" s="196"/>
      <c r="AH845" s="196"/>
      <c r="AI845" s="196"/>
      <c r="AJ845" s="196"/>
      <c r="AK845" s="196"/>
      <c r="AL845" s="196"/>
      <c r="AM845" s="196"/>
      <c r="AN845" s="196"/>
      <c r="AO845" s="196"/>
      <c r="AP845" s="196"/>
      <c r="AQ845" s="196"/>
      <c r="AR845" s="196"/>
      <c r="AS845" s="196"/>
    </row>
    <row r="846" spans="1:45" ht="15.75" customHeight="1">
      <c r="A846" s="196"/>
      <c r="B846" s="196"/>
      <c r="C846" s="88"/>
      <c r="D846" s="88"/>
      <c r="E846" s="88"/>
      <c r="F846" s="196"/>
      <c r="G846" s="196"/>
      <c r="H846" s="196"/>
      <c r="I846" s="196"/>
      <c r="J846" s="196"/>
      <c r="K846" s="196"/>
      <c r="L846" s="196"/>
      <c r="M846" s="196"/>
      <c r="N846" s="196"/>
      <c r="O846" s="196"/>
      <c r="P846" s="196"/>
      <c r="Q846" s="196"/>
      <c r="R846" s="196"/>
      <c r="S846" s="196"/>
      <c r="T846" s="196"/>
      <c r="U846" s="196"/>
      <c r="V846" s="196"/>
      <c r="W846" s="196"/>
      <c r="X846" s="196"/>
      <c r="Y846" s="196"/>
      <c r="Z846" s="196"/>
      <c r="AA846" s="196"/>
      <c r="AB846" s="196"/>
      <c r="AC846" s="196"/>
      <c r="AD846" s="196"/>
      <c r="AE846" s="196"/>
      <c r="AF846" s="196"/>
      <c r="AG846" s="196"/>
      <c r="AH846" s="196"/>
      <c r="AI846" s="196"/>
      <c r="AJ846" s="196"/>
      <c r="AK846" s="196"/>
      <c r="AL846" s="196"/>
      <c r="AM846" s="196"/>
      <c r="AN846" s="196"/>
      <c r="AO846" s="196"/>
      <c r="AP846" s="196"/>
      <c r="AQ846" s="196"/>
      <c r="AR846" s="196"/>
      <c r="AS846" s="196"/>
    </row>
    <row r="847" spans="1:45" ht="15.75" customHeight="1">
      <c r="A847" s="196"/>
      <c r="B847" s="196"/>
      <c r="C847" s="88"/>
      <c r="D847" s="88"/>
      <c r="E847" s="88"/>
      <c r="F847" s="196"/>
      <c r="G847" s="196"/>
      <c r="H847" s="196"/>
      <c r="I847" s="196"/>
      <c r="J847" s="196"/>
      <c r="K847" s="196"/>
      <c r="L847" s="196"/>
      <c r="M847" s="196"/>
      <c r="N847" s="196"/>
      <c r="O847" s="196"/>
      <c r="P847" s="196"/>
      <c r="Q847" s="196"/>
      <c r="R847" s="196"/>
      <c r="S847" s="196"/>
      <c r="T847" s="196"/>
      <c r="U847" s="196"/>
      <c r="V847" s="196"/>
      <c r="W847" s="196"/>
      <c r="X847" s="196"/>
      <c r="Y847" s="196"/>
      <c r="Z847" s="196"/>
      <c r="AA847" s="196"/>
      <c r="AB847" s="196"/>
      <c r="AC847" s="196"/>
      <c r="AD847" s="196"/>
      <c r="AE847" s="196"/>
      <c r="AF847" s="196"/>
      <c r="AG847" s="196"/>
      <c r="AH847" s="196"/>
      <c r="AI847" s="196"/>
      <c r="AJ847" s="196"/>
      <c r="AK847" s="196"/>
      <c r="AL847" s="196"/>
      <c r="AM847" s="196"/>
      <c r="AN847" s="196"/>
      <c r="AO847" s="196"/>
      <c r="AP847" s="196"/>
      <c r="AQ847" s="196"/>
      <c r="AR847" s="196"/>
      <c r="AS847" s="196"/>
    </row>
    <row r="848" spans="1:45" ht="15.75" customHeight="1">
      <c r="A848" s="196"/>
      <c r="B848" s="196"/>
      <c r="C848" s="88"/>
      <c r="D848" s="88"/>
      <c r="E848" s="88"/>
      <c r="F848" s="196"/>
      <c r="G848" s="196"/>
      <c r="H848" s="196"/>
      <c r="I848" s="196"/>
      <c r="J848" s="196"/>
      <c r="K848" s="196"/>
      <c r="L848" s="196"/>
      <c r="M848" s="196"/>
      <c r="N848" s="196"/>
      <c r="O848" s="196"/>
      <c r="P848" s="196"/>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c r="AQ848" s="196"/>
      <c r="AR848" s="196"/>
      <c r="AS848" s="196"/>
    </row>
    <row r="849" spans="1:45" ht="15.75" customHeight="1">
      <c r="A849" s="196"/>
      <c r="B849" s="196"/>
      <c r="C849" s="88"/>
      <c r="D849" s="88"/>
      <c r="E849" s="88"/>
      <c r="F849" s="196"/>
      <c r="G849" s="196"/>
      <c r="H849" s="196"/>
      <c r="I849" s="196"/>
      <c r="J849" s="196"/>
      <c r="K849" s="196"/>
      <c r="L849" s="196"/>
      <c r="M849" s="196"/>
      <c r="N849" s="196"/>
      <c r="O849" s="196"/>
      <c r="P849" s="196"/>
      <c r="Q849" s="196"/>
      <c r="R849" s="196"/>
      <c r="S849" s="196"/>
      <c r="T849" s="196"/>
      <c r="U849" s="196"/>
      <c r="V849" s="196"/>
      <c r="W849" s="196"/>
      <c r="X849" s="196"/>
      <c r="Y849" s="196"/>
      <c r="Z849" s="196"/>
      <c r="AA849" s="196"/>
      <c r="AB849" s="196"/>
      <c r="AC849" s="196"/>
      <c r="AD849" s="196"/>
      <c r="AE849" s="196"/>
      <c r="AF849" s="196"/>
      <c r="AG849" s="196"/>
      <c r="AH849" s="196"/>
      <c r="AI849" s="196"/>
      <c r="AJ849" s="196"/>
      <c r="AK849" s="196"/>
      <c r="AL849" s="196"/>
      <c r="AM849" s="196"/>
      <c r="AN849" s="196"/>
      <c r="AO849" s="196"/>
      <c r="AP849" s="196"/>
      <c r="AQ849" s="196"/>
      <c r="AR849" s="196"/>
      <c r="AS849" s="196"/>
    </row>
    <row r="850" spans="1:45" ht="15.75" customHeight="1">
      <c r="A850" s="196"/>
      <c r="B850" s="196"/>
      <c r="C850" s="88"/>
      <c r="D850" s="88"/>
      <c r="E850" s="88"/>
      <c r="F850" s="196"/>
      <c r="G850" s="196"/>
      <c r="H850" s="196"/>
      <c r="I850" s="196"/>
      <c r="J850" s="196"/>
      <c r="K850" s="196"/>
      <c r="L850" s="196"/>
      <c r="M850" s="196"/>
      <c r="N850" s="196"/>
      <c r="O850" s="196"/>
      <c r="P850" s="196"/>
      <c r="Q850" s="196"/>
      <c r="R850" s="196"/>
      <c r="S850" s="196"/>
      <c r="T850" s="196"/>
      <c r="U850" s="196"/>
      <c r="V850" s="196"/>
      <c r="W850" s="196"/>
      <c r="X850" s="196"/>
      <c r="Y850" s="196"/>
      <c r="Z850" s="196"/>
      <c r="AA850" s="196"/>
      <c r="AB850" s="196"/>
      <c r="AC850" s="196"/>
      <c r="AD850" s="196"/>
      <c r="AE850" s="196"/>
      <c r="AF850" s="196"/>
      <c r="AG850" s="196"/>
      <c r="AH850" s="196"/>
      <c r="AI850" s="196"/>
      <c r="AJ850" s="196"/>
      <c r="AK850" s="196"/>
      <c r="AL850" s="196"/>
      <c r="AM850" s="196"/>
      <c r="AN850" s="196"/>
      <c r="AO850" s="196"/>
      <c r="AP850" s="196"/>
      <c r="AQ850" s="196"/>
      <c r="AR850" s="196"/>
      <c r="AS850" s="196"/>
    </row>
    <row r="851" spans="1:45" ht="15.75" customHeight="1">
      <c r="A851" s="196"/>
      <c r="B851" s="196"/>
      <c r="C851" s="88"/>
      <c r="D851" s="88"/>
      <c r="E851" s="88"/>
      <c r="F851" s="196"/>
      <c r="G851" s="196"/>
      <c r="H851" s="196"/>
      <c r="I851" s="196"/>
      <c r="J851" s="196"/>
      <c r="K851" s="196"/>
      <c r="L851" s="196"/>
      <c r="M851" s="196"/>
      <c r="N851" s="196"/>
      <c r="O851" s="196"/>
      <c r="P851" s="196"/>
      <c r="Q851" s="196"/>
      <c r="R851" s="196"/>
      <c r="S851" s="196"/>
      <c r="T851" s="196"/>
      <c r="U851" s="196"/>
      <c r="V851" s="196"/>
      <c r="W851" s="196"/>
      <c r="X851" s="196"/>
      <c r="Y851" s="196"/>
      <c r="Z851" s="196"/>
      <c r="AA851" s="196"/>
      <c r="AB851" s="196"/>
      <c r="AC851" s="196"/>
      <c r="AD851" s="196"/>
      <c r="AE851" s="196"/>
      <c r="AF851" s="196"/>
      <c r="AG851" s="196"/>
      <c r="AH851" s="196"/>
      <c r="AI851" s="196"/>
      <c r="AJ851" s="196"/>
      <c r="AK851" s="196"/>
      <c r="AL851" s="196"/>
      <c r="AM851" s="196"/>
      <c r="AN851" s="196"/>
      <c r="AO851" s="196"/>
      <c r="AP851" s="196"/>
      <c r="AQ851" s="196"/>
      <c r="AR851" s="196"/>
      <c r="AS851" s="196"/>
    </row>
    <row r="852" spans="1:45" ht="15.75" customHeight="1">
      <c r="A852" s="196"/>
      <c r="B852" s="196"/>
      <c r="C852" s="88"/>
      <c r="D852" s="88"/>
      <c r="E852" s="88"/>
      <c r="F852" s="196"/>
      <c r="G852" s="196"/>
      <c r="H852" s="196"/>
      <c r="I852" s="196"/>
      <c r="J852" s="196"/>
      <c r="K852" s="196"/>
      <c r="L852" s="196"/>
      <c r="M852" s="196"/>
      <c r="N852" s="196"/>
      <c r="O852" s="196"/>
      <c r="P852" s="196"/>
      <c r="Q852" s="196"/>
      <c r="R852" s="196"/>
      <c r="S852" s="196"/>
      <c r="T852" s="196"/>
      <c r="U852" s="196"/>
      <c r="V852" s="196"/>
      <c r="W852" s="196"/>
      <c r="X852" s="196"/>
      <c r="Y852" s="196"/>
      <c r="Z852" s="196"/>
      <c r="AA852" s="196"/>
      <c r="AB852" s="196"/>
      <c r="AC852" s="196"/>
      <c r="AD852" s="196"/>
      <c r="AE852" s="196"/>
      <c r="AF852" s="196"/>
      <c r="AG852" s="196"/>
      <c r="AH852" s="196"/>
      <c r="AI852" s="196"/>
      <c r="AJ852" s="196"/>
      <c r="AK852" s="196"/>
      <c r="AL852" s="196"/>
      <c r="AM852" s="196"/>
      <c r="AN852" s="196"/>
      <c r="AO852" s="196"/>
      <c r="AP852" s="196"/>
      <c r="AQ852" s="196"/>
      <c r="AR852" s="196"/>
      <c r="AS852" s="196"/>
    </row>
    <row r="853" spans="1:45" ht="15.75" customHeight="1">
      <c r="A853" s="196"/>
      <c r="B853" s="196"/>
      <c r="C853" s="88"/>
      <c r="D853" s="88"/>
      <c r="E853" s="88"/>
      <c r="F853" s="196"/>
      <c r="G853" s="196"/>
      <c r="H853" s="196"/>
      <c r="I853" s="196"/>
      <c r="J853" s="196"/>
      <c r="K853" s="196"/>
      <c r="L853" s="196"/>
      <c r="M853" s="196"/>
      <c r="N853" s="196"/>
      <c r="O853" s="196"/>
      <c r="P853" s="196"/>
      <c r="Q853" s="196"/>
      <c r="R853" s="196"/>
      <c r="S853" s="196"/>
      <c r="T853" s="196"/>
      <c r="U853" s="196"/>
      <c r="V853" s="196"/>
      <c r="W853" s="196"/>
      <c r="X853" s="196"/>
      <c r="Y853" s="196"/>
      <c r="Z853" s="196"/>
      <c r="AA853" s="196"/>
      <c r="AB853" s="196"/>
      <c r="AC853" s="196"/>
      <c r="AD853" s="196"/>
      <c r="AE853" s="196"/>
      <c r="AF853" s="196"/>
      <c r="AG853" s="196"/>
      <c r="AH853" s="196"/>
      <c r="AI853" s="196"/>
      <c r="AJ853" s="196"/>
      <c r="AK853" s="196"/>
      <c r="AL853" s="196"/>
      <c r="AM853" s="196"/>
      <c r="AN853" s="196"/>
      <c r="AO853" s="196"/>
      <c r="AP853" s="196"/>
      <c r="AQ853" s="196"/>
      <c r="AR853" s="196"/>
      <c r="AS853" s="196"/>
    </row>
    <row r="854" spans="1:45" ht="15.75" customHeight="1">
      <c r="A854" s="196"/>
      <c r="B854" s="196"/>
      <c r="C854" s="88"/>
      <c r="D854" s="88"/>
      <c r="E854" s="88"/>
      <c r="F854" s="196"/>
      <c r="G854" s="196"/>
      <c r="H854" s="196"/>
      <c r="I854" s="196"/>
      <c r="J854" s="196"/>
      <c r="K854" s="196"/>
      <c r="L854" s="196"/>
      <c r="M854" s="196"/>
      <c r="N854" s="196"/>
      <c r="O854" s="196"/>
      <c r="P854" s="196"/>
      <c r="Q854" s="196"/>
      <c r="R854" s="196"/>
      <c r="S854" s="196"/>
      <c r="T854" s="196"/>
      <c r="U854" s="196"/>
      <c r="V854" s="196"/>
      <c r="W854" s="196"/>
      <c r="X854" s="196"/>
      <c r="Y854" s="196"/>
      <c r="Z854" s="196"/>
      <c r="AA854" s="196"/>
      <c r="AB854" s="196"/>
      <c r="AC854" s="196"/>
      <c r="AD854" s="196"/>
      <c r="AE854" s="196"/>
      <c r="AF854" s="196"/>
      <c r="AG854" s="196"/>
      <c r="AH854" s="196"/>
      <c r="AI854" s="196"/>
      <c r="AJ854" s="196"/>
      <c r="AK854" s="196"/>
      <c r="AL854" s="196"/>
      <c r="AM854" s="196"/>
      <c r="AN854" s="196"/>
      <c r="AO854" s="196"/>
      <c r="AP854" s="196"/>
      <c r="AQ854" s="196"/>
      <c r="AR854" s="196"/>
      <c r="AS854" s="196"/>
    </row>
    <row r="855" spans="1:45" ht="15.75" customHeight="1">
      <c r="A855" s="196"/>
      <c r="B855" s="196"/>
      <c r="C855" s="88"/>
      <c r="D855" s="88"/>
      <c r="E855" s="88"/>
      <c r="F855" s="196"/>
      <c r="G855" s="196"/>
      <c r="H855" s="196"/>
      <c r="I855" s="196"/>
      <c r="J855" s="196"/>
      <c r="K855" s="196"/>
      <c r="L855" s="196"/>
      <c r="M855" s="196"/>
      <c r="N855" s="196"/>
      <c r="O855" s="196"/>
      <c r="P855" s="196"/>
      <c r="Q855" s="196"/>
      <c r="R855" s="196"/>
      <c r="S855" s="196"/>
      <c r="T855" s="196"/>
      <c r="U855" s="196"/>
      <c r="V855" s="196"/>
      <c r="W855" s="196"/>
      <c r="X855" s="196"/>
      <c r="Y855" s="196"/>
      <c r="Z855" s="196"/>
      <c r="AA855" s="196"/>
      <c r="AB855" s="196"/>
      <c r="AC855" s="196"/>
      <c r="AD855" s="196"/>
      <c r="AE855" s="196"/>
      <c r="AF855" s="196"/>
      <c r="AG855" s="196"/>
      <c r="AH855" s="196"/>
      <c r="AI855" s="196"/>
      <c r="AJ855" s="196"/>
      <c r="AK855" s="196"/>
      <c r="AL855" s="196"/>
      <c r="AM855" s="196"/>
      <c r="AN855" s="196"/>
      <c r="AO855" s="196"/>
      <c r="AP855" s="196"/>
      <c r="AQ855" s="196"/>
      <c r="AR855" s="196"/>
      <c r="AS855" s="196"/>
    </row>
    <row r="856" spans="1:45" ht="15.75" customHeight="1">
      <c r="A856" s="196"/>
      <c r="B856" s="196"/>
      <c r="C856" s="88"/>
      <c r="D856" s="88"/>
      <c r="E856" s="88"/>
      <c r="F856" s="196"/>
      <c r="G856" s="196"/>
      <c r="H856" s="196"/>
      <c r="I856" s="196"/>
      <c r="J856" s="196"/>
      <c r="K856" s="196"/>
      <c r="L856" s="196"/>
      <c r="M856" s="196"/>
      <c r="N856" s="196"/>
      <c r="O856" s="196"/>
      <c r="P856" s="196"/>
      <c r="Q856" s="196"/>
      <c r="R856" s="196"/>
      <c r="S856" s="196"/>
      <c r="T856" s="196"/>
      <c r="U856" s="196"/>
      <c r="V856" s="196"/>
      <c r="W856" s="196"/>
      <c r="X856" s="196"/>
      <c r="Y856" s="196"/>
      <c r="Z856" s="196"/>
      <c r="AA856" s="196"/>
      <c r="AB856" s="196"/>
      <c r="AC856" s="196"/>
      <c r="AD856" s="196"/>
      <c r="AE856" s="196"/>
      <c r="AF856" s="196"/>
      <c r="AG856" s="196"/>
      <c r="AH856" s="196"/>
      <c r="AI856" s="196"/>
      <c r="AJ856" s="196"/>
      <c r="AK856" s="196"/>
      <c r="AL856" s="196"/>
      <c r="AM856" s="196"/>
      <c r="AN856" s="196"/>
      <c r="AO856" s="196"/>
      <c r="AP856" s="196"/>
      <c r="AQ856" s="196"/>
      <c r="AR856" s="196"/>
      <c r="AS856" s="196"/>
    </row>
    <row r="857" spans="1:45" ht="15.75" customHeight="1">
      <c r="A857" s="196"/>
      <c r="B857" s="196"/>
      <c r="C857" s="88"/>
      <c r="D857" s="88"/>
      <c r="E857" s="88"/>
      <c r="F857" s="196"/>
      <c r="G857" s="196"/>
      <c r="H857" s="196"/>
      <c r="I857" s="196"/>
      <c r="J857" s="196"/>
      <c r="K857" s="196"/>
      <c r="L857" s="196"/>
      <c r="M857" s="196"/>
      <c r="N857" s="196"/>
      <c r="O857" s="196"/>
      <c r="P857" s="196"/>
      <c r="Q857" s="196"/>
      <c r="R857" s="196"/>
      <c r="S857" s="196"/>
      <c r="T857" s="196"/>
      <c r="U857" s="196"/>
      <c r="V857" s="196"/>
      <c r="W857" s="196"/>
      <c r="X857" s="196"/>
      <c r="Y857" s="196"/>
      <c r="Z857" s="196"/>
      <c r="AA857" s="196"/>
      <c r="AB857" s="196"/>
      <c r="AC857" s="196"/>
      <c r="AD857" s="196"/>
      <c r="AE857" s="196"/>
      <c r="AF857" s="196"/>
      <c r="AG857" s="196"/>
      <c r="AH857" s="196"/>
      <c r="AI857" s="196"/>
      <c r="AJ857" s="196"/>
      <c r="AK857" s="196"/>
      <c r="AL857" s="196"/>
      <c r="AM857" s="196"/>
      <c r="AN857" s="196"/>
      <c r="AO857" s="196"/>
      <c r="AP857" s="196"/>
      <c r="AQ857" s="196"/>
      <c r="AR857" s="196"/>
      <c r="AS857" s="196"/>
    </row>
    <row r="858" spans="1:45" ht="15.75" customHeight="1">
      <c r="A858" s="196"/>
      <c r="B858" s="196"/>
      <c r="C858" s="88"/>
      <c r="D858" s="88"/>
      <c r="E858" s="88"/>
      <c r="F858" s="196"/>
      <c r="G858" s="196"/>
      <c r="H858" s="196"/>
      <c r="I858" s="196"/>
      <c r="J858" s="196"/>
      <c r="K858" s="196"/>
      <c r="L858" s="196"/>
      <c r="M858" s="196"/>
      <c r="N858" s="196"/>
      <c r="O858" s="196"/>
      <c r="P858" s="196"/>
      <c r="Q858" s="196"/>
      <c r="R858" s="196"/>
      <c r="S858" s="196"/>
      <c r="T858" s="196"/>
      <c r="U858" s="196"/>
      <c r="V858" s="196"/>
      <c r="W858" s="196"/>
      <c r="X858" s="196"/>
      <c r="Y858" s="196"/>
      <c r="Z858" s="196"/>
      <c r="AA858" s="196"/>
      <c r="AB858" s="196"/>
      <c r="AC858" s="196"/>
      <c r="AD858" s="196"/>
      <c r="AE858" s="196"/>
      <c r="AF858" s="196"/>
      <c r="AG858" s="196"/>
      <c r="AH858" s="196"/>
      <c r="AI858" s="196"/>
      <c r="AJ858" s="196"/>
      <c r="AK858" s="196"/>
      <c r="AL858" s="196"/>
      <c r="AM858" s="196"/>
      <c r="AN858" s="196"/>
      <c r="AO858" s="196"/>
      <c r="AP858" s="196"/>
      <c r="AQ858" s="196"/>
      <c r="AR858" s="196"/>
      <c r="AS858" s="196"/>
    </row>
    <row r="859" spans="1:45" ht="15.75" customHeight="1">
      <c r="A859" s="196"/>
      <c r="B859" s="196"/>
      <c r="C859" s="88"/>
      <c r="D859" s="88"/>
      <c r="E859" s="88"/>
      <c r="F859" s="196"/>
      <c r="G859" s="196"/>
      <c r="H859" s="196"/>
      <c r="I859" s="196"/>
      <c r="J859" s="196"/>
      <c r="K859" s="196"/>
      <c r="L859" s="196"/>
      <c r="M859" s="196"/>
      <c r="N859" s="196"/>
      <c r="O859" s="196"/>
      <c r="P859" s="196"/>
      <c r="Q859" s="196"/>
      <c r="R859" s="196"/>
      <c r="S859" s="196"/>
      <c r="T859" s="196"/>
      <c r="U859" s="196"/>
      <c r="V859" s="196"/>
      <c r="W859" s="196"/>
      <c r="X859" s="196"/>
      <c r="Y859" s="196"/>
      <c r="Z859" s="196"/>
      <c r="AA859" s="196"/>
      <c r="AB859" s="196"/>
      <c r="AC859" s="196"/>
      <c r="AD859" s="196"/>
      <c r="AE859" s="196"/>
      <c r="AF859" s="196"/>
      <c r="AG859" s="196"/>
      <c r="AH859" s="196"/>
      <c r="AI859" s="196"/>
      <c r="AJ859" s="196"/>
      <c r="AK859" s="196"/>
      <c r="AL859" s="196"/>
      <c r="AM859" s="196"/>
      <c r="AN859" s="196"/>
      <c r="AO859" s="196"/>
      <c r="AP859" s="196"/>
      <c r="AQ859" s="196"/>
      <c r="AR859" s="196"/>
      <c r="AS859" s="196"/>
    </row>
    <row r="860" spans="1:45" ht="15.75" customHeight="1">
      <c r="A860" s="196"/>
      <c r="B860" s="196"/>
      <c r="C860" s="88"/>
      <c r="D860" s="88"/>
      <c r="E860" s="88"/>
      <c r="F860" s="196"/>
      <c r="G860" s="196"/>
      <c r="H860" s="196"/>
      <c r="I860" s="196"/>
      <c r="J860" s="196"/>
      <c r="K860" s="196"/>
      <c r="L860" s="196"/>
      <c r="M860" s="196"/>
      <c r="N860" s="196"/>
      <c r="O860" s="196"/>
      <c r="P860" s="196"/>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c r="AQ860" s="196"/>
      <c r="AR860" s="196"/>
      <c r="AS860" s="196"/>
    </row>
    <row r="861" spans="1:45" ht="15.75" customHeight="1">
      <c r="A861" s="196"/>
      <c r="B861" s="196"/>
      <c r="C861" s="88"/>
      <c r="D861" s="88"/>
      <c r="E861" s="88"/>
      <c r="F861" s="196"/>
      <c r="G861" s="196"/>
      <c r="H861" s="196"/>
      <c r="I861" s="196"/>
      <c r="J861" s="196"/>
      <c r="K861" s="196"/>
      <c r="L861" s="196"/>
      <c r="M861" s="196"/>
      <c r="N861" s="196"/>
      <c r="O861" s="196"/>
      <c r="P861" s="196"/>
      <c r="Q861" s="196"/>
      <c r="R861" s="196"/>
      <c r="S861" s="196"/>
      <c r="T861" s="196"/>
      <c r="U861" s="196"/>
      <c r="V861" s="196"/>
      <c r="W861" s="196"/>
      <c r="X861" s="196"/>
      <c r="Y861" s="196"/>
      <c r="Z861" s="196"/>
      <c r="AA861" s="196"/>
      <c r="AB861" s="196"/>
      <c r="AC861" s="196"/>
      <c r="AD861" s="196"/>
      <c r="AE861" s="196"/>
      <c r="AF861" s="196"/>
      <c r="AG861" s="196"/>
      <c r="AH861" s="196"/>
      <c r="AI861" s="196"/>
      <c r="AJ861" s="196"/>
      <c r="AK861" s="196"/>
      <c r="AL861" s="196"/>
      <c r="AM861" s="196"/>
      <c r="AN861" s="196"/>
      <c r="AO861" s="196"/>
      <c r="AP861" s="196"/>
      <c r="AQ861" s="196"/>
      <c r="AR861" s="196"/>
      <c r="AS861" s="196"/>
    </row>
    <row r="862" spans="1:45" ht="15.75" customHeight="1">
      <c r="A862" s="196"/>
      <c r="B862" s="196"/>
      <c r="C862" s="88"/>
      <c r="D862" s="88"/>
      <c r="E862" s="88"/>
      <c r="F862" s="196"/>
      <c r="G862" s="196"/>
      <c r="H862" s="196"/>
      <c r="I862" s="196"/>
      <c r="J862" s="196"/>
      <c r="K862" s="196"/>
      <c r="L862" s="196"/>
      <c r="M862" s="196"/>
      <c r="N862" s="196"/>
      <c r="O862" s="196"/>
      <c r="P862" s="196"/>
      <c r="Q862" s="196"/>
      <c r="R862" s="196"/>
      <c r="S862" s="196"/>
      <c r="T862" s="196"/>
      <c r="U862" s="196"/>
      <c r="V862" s="196"/>
      <c r="W862" s="196"/>
      <c r="X862" s="196"/>
      <c r="Y862" s="196"/>
      <c r="Z862" s="196"/>
      <c r="AA862" s="196"/>
      <c r="AB862" s="196"/>
      <c r="AC862" s="196"/>
      <c r="AD862" s="196"/>
      <c r="AE862" s="196"/>
      <c r="AF862" s="196"/>
      <c r="AG862" s="196"/>
      <c r="AH862" s="196"/>
      <c r="AI862" s="196"/>
      <c r="AJ862" s="196"/>
      <c r="AK862" s="196"/>
      <c r="AL862" s="196"/>
      <c r="AM862" s="196"/>
      <c r="AN862" s="196"/>
      <c r="AO862" s="196"/>
      <c r="AP862" s="196"/>
      <c r="AQ862" s="196"/>
      <c r="AR862" s="196"/>
      <c r="AS862" s="196"/>
    </row>
    <row r="863" spans="1:45" ht="15.75" customHeight="1">
      <c r="A863" s="196"/>
      <c r="B863" s="196"/>
      <c r="C863" s="88"/>
      <c r="D863" s="88"/>
      <c r="E863" s="88"/>
      <c r="F863" s="196"/>
      <c r="G863" s="196"/>
      <c r="H863" s="196"/>
      <c r="I863" s="196"/>
      <c r="J863" s="196"/>
      <c r="K863" s="196"/>
      <c r="L863" s="196"/>
      <c r="M863" s="196"/>
      <c r="N863" s="196"/>
      <c r="O863" s="196"/>
      <c r="P863" s="196"/>
      <c r="Q863" s="196"/>
      <c r="R863" s="196"/>
      <c r="S863" s="196"/>
      <c r="T863" s="196"/>
      <c r="U863" s="196"/>
      <c r="V863" s="196"/>
      <c r="W863" s="196"/>
      <c r="X863" s="196"/>
      <c r="Y863" s="196"/>
      <c r="Z863" s="196"/>
      <c r="AA863" s="196"/>
      <c r="AB863" s="196"/>
      <c r="AC863" s="196"/>
      <c r="AD863" s="196"/>
      <c r="AE863" s="196"/>
      <c r="AF863" s="196"/>
      <c r="AG863" s="196"/>
      <c r="AH863" s="196"/>
      <c r="AI863" s="196"/>
      <c r="AJ863" s="196"/>
      <c r="AK863" s="196"/>
      <c r="AL863" s="196"/>
      <c r="AM863" s="196"/>
      <c r="AN863" s="196"/>
      <c r="AO863" s="196"/>
      <c r="AP863" s="196"/>
      <c r="AQ863" s="196"/>
      <c r="AR863" s="196"/>
      <c r="AS863" s="196"/>
    </row>
    <row r="864" spans="1:45" ht="15.75" customHeight="1">
      <c r="A864" s="196"/>
      <c r="B864" s="196"/>
      <c r="C864" s="88"/>
      <c r="D864" s="88"/>
      <c r="E864" s="88"/>
      <c r="F864" s="196"/>
      <c r="G864" s="196"/>
      <c r="H864" s="196"/>
      <c r="I864" s="196"/>
      <c r="J864" s="196"/>
      <c r="K864" s="196"/>
      <c r="L864" s="196"/>
      <c r="M864" s="196"/>
      <c r="N864" s="196"/>
      <c r="O864" s="196"/>
      <c r="P864" s="196"/>
      <c r="Q864" s="196"/>
      <c r="R864" s="196"/>
      <c r="S864" s="196"/>
      <c r="T864" s="196"/>
      <c r="U864" s="196"/>
      <c r="V864" s="196"/>
      <c r="W864" s="196"/>
      <c r="X864" s="196"/>
      <c r="Y864" s="196"/>
      <c r="Z864" s="196"/>
      <c r="AA864" s="196"/>
      <c r="AB864" s="196"/>
      <c r="AC864" s="196"/>
      <c r="AD864" s="196"/>
      <c r="AE864" s="196"/>
      <c r="AF864" s="196"/>
      <c r="AG864" s="196"/>
      <c r="AH864" s="196"/>
      <c r="AI864" s="196"/>
      <c r="AJ864" s="196"/>
      <c r="AK864" s="196"/>
      <c r="AL864" s="196"/>
      <c r="AM864" s="196"/>
      <c r="AN864" s="196"/>
      <c r="AO864" s="196"/>
      <c r="AP864" s="196"/>
      <c r="AQ864" s="196"/>
      <c r="AR864" s="196"/>
      <c r="AS864" s="196"/>
    </row>
    <row r="865" spans="1:45" ht="15.75" customHeight="1">
      <c r="A865" s="196"/>
      <c r="B865" s="196"/>
      <c r="C865" s="88"/>
      <c r="D865" s="88"/>
      <c r="E865" s="88"/>
      <c r="F865" s="196"/>
      <c r="G865" s="196"/>
      <c r="H865" s="196"/>
      <c r="I865" s="196"/>
      <c r="J865" s="196"/>
      <c r="K865" s="196"/>
      <c r="L865" s="196"/>
      <c r="M865" s="196"/>
      <c r="N865" s="196"/>
      <c r="O865" s="196"/>
      <c r="P865" s="196"/>
      <c r="Q865" s="196"/>
      <c r="R865" s="196"/>
      <c r="S865" s="196"/>
      <c r="T865" s="196"/>
      <c r="U865" s="196"/>
      <c r="V865" s="196"/>
      <c r="W865" s="196"/>
      <c r="X865" s="196"/>
      <c r="Y865" s="196"/>
      <c r="Z865" s="196"/>
      <c r="AA865" s="196"/>
      <c r="AB865" s="196"/>
      <c r="AC865" s="196"/>
      <c r="AD865" s="196"/>
      <c r="AE865" s="196"/>
      <c r="AF865" s="196"/>
      <c r="AG865" s="196"/>
      <c r="AH865" s="196"/>
      <c r="AI865" s="196"/>
      <c r="AJ865" s="196"/>
      <c r="AK865" s="196"/>
      <c r="AL865" s="196"/>
      <c r="AM865" s="196"/>
      <c r="AN865" s="196"/>
      <c r="AO865" s="196"/>
      <c r="AP865" s="196"/>
      <c r="AQ865" s="196"/>
      <c r="AR865" s="196"/>
      <c r="AS865" s="196"/>
    </row>
    <row r="866" spans="1:45" ht="15.75" customHeight="1">
      <c r="A866" s="196"/>
      <c r="B866" s="196"/>
      <c r="C866" s="88"/>
      <c r="D866" s="88"/>
      <c r="E866" s="88"/>
      <c r="F866" s="196"/>
      <c r="G866" s="196"/>
      <c r="H866" s="196"/>
      <c r="I866" s="196"/>
      <c r="J866" s="196"/>
      <c r="K866" s="196"/>
      <c r="L866" s="196"/>
      <c r="M866" s="196"/>
      <c r="N866" s="196"/>
      <c r="O866" s="196"/>
      <c r="P866" s="196"/>
      <c r="Q866" s="196"/>
      <c r="R866" s="196"/>
      <c r="S866" s="196"/>
      <c r="T866" s="196"/>
      <c r="U866" s="196"/>
      <c r="V866" s="196"/>
      <c r="W866" s="196"/>
      <c r="X866" s="196"/>
      <c r="Y866" s="196"/>
      <c r="Z866" s="196"/>
      <c r="AA866" s="196"/>
      <c r="AB866" s="196"/>
      <c r="AC866" s="196"/>
      <c r="AD866" s="196"/>
      <c r="AE866" s="196"/>
      <c r="AF866" s="196"/>
      <c r="AG866" s="196"/>
      <c r="AH866" s="196"/>
      <c r="AI866" s="196"/>
      <c r="AJ866" s="196"/>
      <c r="AK866" s="196"/>
      <c r="AL866" s="196"/>
      <c r="AM866" s="196"/>
      <c r="AN866" s="196"/>
      <c r="AO866" s="196"/>
      <c r="AP866" s="196"/>
      <c r="AQ866" s="196"/>
      <c r="AR866" s="196"/>
      <c r="AS866" s="196"/>
    </row>
    <row r="867" spans="1:45" ht="15.75" customHeight="1">
      <c r="A867" s="196"/>
      <c r="B867" s="196"/>
      <c r="C867" s="88"/>
      <c r="D867" s="88"/>
      <c r="E867" s="88"/>
      <c r="F867" s="196"/>
      <c r="G867" s="196"/>
      <c r="H867" s="196"/>
      <c r="I867" s="196"/>
      <c r="J867" s="196"/>
      <c r="K867" s="196"/>
      <c r="L867" s="196"/>
      <c r="M867" s="196"/>
      <c r="N867" s="196"/>
      <c r="O867" s="196"/>
      <c r="P867" s="196"/>
      <c r="Q867" s="196"/>
      <c r="R867" s="196"/>
      <c r="S867" s="196"/>
      <c r="T867" s="196"/>
      <c r="U867" s="196"/>
      <c r="V867" s="196"/>
      <c r="W867" s="196"/>
      <c r="X867" s="196"/>
      <c r="Y867" s="196"/>
      <c r="Z867" s="196"/>
      <c r="AA867" s="196"/>
      <c r="AB867" s="196"/>
      <c r="AC867" s="196"/>
      <c r="AD867" s="196"/>
      <c r="AE867" s="196"/>
      <c r="AF867" s="196"/>
      <c r="AG867" s="196"/>
      <c r="AH867" s="196"/>
      <c r="AI867" s="196"/>
      <c r="AJ867" s="196"/>
      <c r="AK867" s="196"/>
      <c r="AL867" s="196"/>
      <c r="AM867" s="196"/>
      <c r="AN867" s="196"/>
      <c r="AO867" s="196"/>
      <c r="AP867" s="196"/>
      <c r="AQ867" s="196"/>
      <c r="AR867" s="196"/>
      <c r="AS867" s="196"/>
    </row>
    <row r="868" spans="1:45" ht="15.75" customHeight="1">
      <c r="A868" s="196"/>
      <c r="B868" s="196"/>
      <c r="C868" s="88"/>
      <c r="D868" s="88"/>
      <c r="E868" s="88"/>
      <c r="F868" s="196"/>
      <c r="G868" s="196"/>
      <c r="H868" s="196"/>
      <c r="I868" s="196"/>
      <c r="J868" s="196"/>
      <c r="K868" s="196"/>
      <c r="L868" s="196"/>
      <c r="M868" s="196"/>
      <c r="N868" s="196"/>
      <c r="O868" s="196"/>
      <c r="P868" s="196"/>
      <c r="Q868" s="196"/>
      <c r="R868" s="196"/>
      <c r="S868" s="196"/>
      <c r="T868" s="196"/>
      <c r="U868" s="196"/>
      <c r="V868" s="196"/>
      <c r="W868" s="196"/>
      <c r="X868" s="196"/>
      <c r="Y868" s="196"/>
      <c r="Z868" s="196"/>
      <c r="AA868" s="196"/>
      <c r="AB868" s="196"/>
      <c r="AC868" s="196"/>
      <c r="AD868" s="196"/>
      <c r="AE868" s="196"/>
      <c r="AF868" s="196"/>
      <c r="AG868" s="196"/>
      <c r="AH868" s="196"/>
      <c r="AI868" s="196"/>
      <c r="AJ868" s="196"/>
      <c r="AK868" s="196"/>
      <c r="AL868" s="196"/>
      <c r="AM868" s="196"/>
      <c r="AN868" s="196"/>
      <c r="AO868" s="196"/>
      <c r="AP868" s="196"/>
      <c r="AQ868" s="196"/>
      <c r="AR868" s="196"/>
      <c r="AS868" s="196"/>
    </row>
    <row r="869" spans="1:45" ht="15.75" customHeight="1">
      <c r="A869" s="196"/>
      <c r="B869" s="196"/>
      <c r="C869" s="88"/>
      <c r="D869" s="88"/>
      <c r="E869" s="88"/>
      <c r="F869" s="196"/>
      <c r="G869" s="196"/>
      <c r="H869" s="196"/>
      <c r="I869" s="196"/>
      <c r="J869" s="196"/>
      <c r="K869" s="196"/>
      <c r="L869" s="196"/>
      <c r="M869" s="196"/>
      <c r="N869" s="196"/>
      <c r="O869" s="196"/>
      <c r="P869" s="196"/>
      <c r="Q869" s="196"/>
      <c r="R869" s="196"/>
      <c r="S869" s="196"/>
      <c r="T869" s="196"/>
      <c r="U869" s="196"/>
      <c r="V869" s="196"/>
      <c r="W869" s="196"/>
      <c r="X869" s="196"/>
      <c r="Y869" s="196"/>
      <c r="Z869" s="196"/>
      <c r="AA869" s="196"/>
      <c r="AB869" s="196"/>
      <c r="AC869" s="196"/>
      <c r="AD869" s="196"/>
      <c r="AE869" s="196"/>
      <c r="AF869" s="196"/>
      <c r="AG869" s="196"/>
      <c r="AH869" s="196"/>
      <c r="AI869" s="196"/>
      <c r="AJ869" s="196"/>
      <c r="AK869" s="196"/>
      <c r="AL869" s="196"/>
      <c r="AM869" s="196"/>
      <c r="AN869" s="196"/>
      <c r="AO869" s="196"/>
      <c r="AP869" s="196"/>
      <c r="AQ869" s="196"/>
      <c r="AR869" s="196"/>
      <c r="AS869" s="196"/>
    </row>
    <row r="870" spans="1:45" ht="15.75" customHeight="1">
      <c r="A870" s="196"/>
      <c r="B870" s="196"/>
      <c r="C870" s="88"/>
      <c r="D870" s="88"/>
      <c r="E870" s="88"/>
      <c r="F870" s="196"/>
      <c r="G870" s="196"/>
      <c r="H870" s="196"/>
      <c r="I870" s="196"/>
      <c r="J870" s="196"/>
      <c r="K870" s="196"/>
      <c r="L870" s="196"/>
      <c r="M870" s="196"/>
      <c r="N870" s="196"/>
      <c r="O870" s="196"/>
      <c r="P870" s="196"/>
      <c r="Q870" s="196"/>
      <c r="R870" s="196"/>
      <c r="S870" s="196"/>
      <c r="T870" s="196"/>
      <c r="U870" s="196"/>
      <c r="V870" s="196"/>
      <c r="W870" s="196"/>
      <c r="X870" s="196"/>
      <c r="Y870" s="196"/>
      <c r="Z870" s="196"/>
      <c r="AA870" s="196"/>
      <c r="AB870" s="196"/>
      <c r="AC870" s="196"/>
      <c r="AD870" s="196"/>
      <c r="AE870" s="196"/>
      <c r="AF870" s="196"/>
      <c r="AG870" s="196"/>
      <c r="AH870" s="196"/>
      <c r="AI870" s="196"/>
      <c r="AJ870" s="196"/>
      <c r="AK870" s="196"/>
      <c r="AL870" s="196"/>
      <c r="AM870" s="196"/>
      <c r="AN870" s="196"/>
      <c r="AO870" s="196"/>
      <c r="AP870" s="196"/>
      <c r="AQ870" s="196"/>
      <c r="AR870" s="196"/>
      <c r="AS870" s="196"/>
    </row>
    <row r="871" spans="1:45" ht="15.75" customHeight="1">
      <c r="A871" s="196"/>
      <c r="B871" s="196"/>
      <c r="C871" s="88"/>
      <c r="D871" s="88"/>
      <c r="E871" s="88"/>
      <c r="F871" s="196"/>
      <c r="G871" s="196"/>
      <c r="H871" s="196"/>
      <c r="I871" s="196"/>
      <c r="J871" s="196"/>
      <c r="K871" s="196"/>
      <c r="L871" s="196"/>
      <c r="M871" s="196"/>
      <c r="N871" s="196"/>
      <c r="O871" s="196"/>
      <c r="P871" s="196"/>
      <c r="Q871" s="196"/>
      <c r="R871" s="196"/>
      <c r="S871" s="196"/>
      <c r="T871" s="196"/>
      <c r="U871" s="196"/>
      <c r="V871" s="196"/>
      <c r="W871" s="196"/>
      <c r="X871" s="196"/>
      <c r="Y871" s="196"/>
      <c r="Z871" s="196"/>
      <c r="AA871" s="196"/>
      <c r="AB871" s="196"/>
      <c r="AC871" s="196"/>
      <c r="AD871" s="196"/>
      <c r="AE871" s="196"/>
      <c r="AF871" s="196"/>
      <c r="AG871" s="196"/>
      <c r="AH871" s="196"/>
      <c r="AI871" s="196"/>
      <c r="AJ871" s="196"/>
      <c r="AK871" s="196"/>
      <c r="AL871" s="196"/>
      <c r="AM871" s="196"/>
      <c r="AN871" s="196"/>
      <c r="AO871" s="196"/>
      <c r="AP871" s="196"/>
      <c r="AQ871" s="196"/>
      <c r="AR871" s="196"/>
      <c r="AS871" s="196"/>
    </row>
    <row r="872" spans="1:45" ht="15.75" customHeight="1">
      <c r="A872" s="196"/>
      <c r="B872" s="196"/>
      <c r="C872" s="88"/>
      <c r="D872" s="88"/>
      <c r="E872" s="88"/>
      <c r="F872" s="196"/>
      <c r="G872" s="196"/>
      <c r="H872" s="196"/>
      <c r="I872" s="196"/>
      <c r="J872" s="196"/>
      <c r="K872" s="196"/>
      <c r="L872" s="196"/>
      <c r="M872" s="196"/>
      <c r="N872" s="196"/>
      <c r="O872" s="196"/>
      <c r="P872" s="196"/>
      <c r="Q872" s="196"/>
      <c r="R872" s="196"/>
      <c r="S872" s="196"/>
      <c r="T872" s="196"/>
      <c r="U872" s="196"/>
      <c r="V872" s="196"/>
      <c r="W872" s="196"/>
      <c r="X872" s="196"/>
      <c r="Y872" s="196"/>
      <c r="Z872" s="196"/>
      <c r="AA872" s="196"/>
      <c r="AB872" s="196"/>
      <c r="AC872" s="196"/>
      <c r="AD872" s="196"/>
      <c r="AE872" s="196"/>
      <c r="AF872" s="196"/>
      <c r="AG872" s="196"/>
      <c r="AH872" s="196"/>
      <c r="AI872" s="196"/>
      <c r="AJ872" s="196"/>
      <c r="AK872" s="196"/>
      <c r="AL872" s="196"/>
      <c r="AM872" s="196"/>
      <c r="AN872" s="196"/>
      <c r="AO872" s="196"/>
      <c r="AP872" s="196"/>
      <c r="AQ872" s="196"/>
      <c r="AR872" s="196"/>
      <c r="AS872" s="196"/>
    </row>
    <row r="873" spans="1:45" ht="15.75" customHeight="1">
      <c r="A873" s="196"/>
      <c r="B873" s="196"/>
      <c r="C873" s="88"/>
      <c r="D873" s="88"/>
      <c r="E873" s="88"/>
      <c r="F873" s="196"/>
      <c r="G873" s="196"/>
      <c r="H873" s="196"/>
      <c r="I873" s="196"/>
      <c r="J873" s="196"/>
      <c r="K873" s="196"/>
      <c r="L873" s="196"/>
      <c r="M873" s="196"/>
      <c r="N873" s="196"/>
      <c r="O873" s="196"/>
      <c r="P873" s="196"/>
      <c r="Q873" s="196"/>
      <c r="R873" s="196"/>
      <c r="S873" s="196"/>
      <c r="T873" s="196"/>
      <c r="U873" s="196"/>
      <c r="V873" s="196"/>
      <c r="W873" s="196"/>
      <c r="X873" s="196"/>
      <c r="Y873" s="196"/>
      <c r="Z873" s="196"/>
      <c r="AA873" s="196"/>
      <c r="AB873" s="196"/>
      <c r="AC873" s="196"/>
      <c r="AD873" s="196"/>
      <c r="AE873" s="196"/>
      <c r="AF873" s="196"/>
      <c r="AG873" s="196"/>
      <c r="AH873" s="196"/>
      <c r="AI873" s="196"/>
      <c r="AJ873" s="196"/>
      <c r="AK873" s="196"/>
      <c r="AL873" s="196"/>
      <c r="AM873" s="196"/>
      <c r="AN873" s="196"/>
      <c r="AO873" s="196"/>
      <c r="AP873" s="196"/>
      <c r="AQ873" s="196"/>
      <c r="AR873" s="196"/>
      <c r="AS873" s="196"/>
    </row>
    <row r="874" spans="1:45" ht="15.75" customHeight="1">
      <c r="A874" s="196"/>
      <c r="B874" s="196"/>
      <c r="C874" s="88"/>
      <c r="D874" s="88"/>
      <c r="E874" s="88"/>
      <c r="F874" s="196"/>
      <c r="G874" s="196"/>
      <c r="H874" s="196"/>
      <c r="I874" s="196"/>
      <c r="J874" s="196"/>
      <c r="K874" s="196"/>
      <c r="L874" s="196"/>
      <c r="M874" s="196"/>
      <c r="N874" s="196"/>
      <c r="O874" s="196"/>
      <c r="P874" s="196"/>
      <c r="Q874" s="196"/>
      <c r="R874" s="196"/>
      <c r="S874" s="196"/>
      <c r="T874" s="196"/>
      <c r="U874" s="196"/>
      <c r="V874" s="196"/>
      <c r="W874" s="196"/>
      <c r="X874" s="196"/>
      <c r="Y874" s="196"/>
      <c r="Z874" s="196"/>
      <c r="AA874" s="196"/>
      <c r="AB874" s="196"/>
      <c r="AC874" s="196"/>
      <c r="AD874" s="196"/>
      <c r="AE874" s="196"/>
      <c r="AF874" s="196"/>
      <c r="AG874" s="196"/>
      <c r="AH874" s="196"/>
      <c r="AI874" s="196"/>
      <c r="AJ874" s="196"/>
      <c r="AK874" s="196"/>
      <c r="AL874" s="196"/>
      <c r="AM874" s="196"/>
      <c r="AN874" s="196"/>
      <c r="AO874" s="196"/>
      <c r="AP874" s="196"/>
      <c r="AQ874" s="196"/>
      <c r="AR874" s="196"/>
      <c r="AS874" s="196"/>
    </row>
    <row r="875" spans="1:45" ht="15.75" customHeight="1">
      <c r="A875" s="196"/>
      <c r="B875" s="196"/>
      <c r="C875" s="88"/>
      <c r="D875" s="88"/>
      <c r="E875" s="88"/>
      <c r="F875" s="196"/>
      <c r="G875" s="196"/>
      <c r="H875" s="196"/>
      <c r="I875" s="196"/>
      <c r="J875" s="196"/>
      <c r="K875" s="196"/>
      <c r="L875" s="196"/>
      <c r="M875" s="196"/>
      <c r="N875" s="196"/>
      <c r="O875" s="196"/>
      <c r="P875" s="196"/>
      <c r="Q875" s="196"/>
      <c r="R875" s="196"/>
      <c r="S875" s="196"/>
      <c r="T875" s="196"/>
      <c r="U875" s="196"/>
      <c r="V875" s="196"/>
      <c r="W875" s="196"/>
      <c r="X875" s="196"/>
      <c r="Y875" s="196"/>
      <c r="Z875" s="196"/>
      <c r="AA875" s="196"/>
      <c r="AB875" s="196"/>
      <c r="AC875" s="196"/>
      <c r="AD875" s="196"/>
      <c r="AE875" s="196"/>
      <c r="AF875" s="196"/>
      <c r="AG875" s="196"/>
      <c r="AH875" s="196"/>
      <c r="AI875" s="196"/>
      <c r="AJ875" s="196"/>
      <c r="AK875" s="196"/>
      <c r="AL875" s="196"/>
      <c r="AM875" s="196"/>
      <c r="AN875" s="196"/>
      <c r="AO875" s="196"/>
      <c r="AP875" s="196"/>
      <c r="AQ875" s="196"/>
      <c r="AR875" s="196"/>
      <c r="AS875" s="196"/>
    </row>
    <row r="876" spans="1:45" ht="15.75" customHeight="1">
      <c r="A876" s="196"/>
      <c r="B876" s="196"/>
      <c r="C876" s="88"/>
      <c r="D876" s="88"/>
      <c r="E876" s="88"/>
      <c r="F876" s="196"/>
      <c r="G876" s="196"/>
      <c r="H876" s="196"/>
      <c r="I876" s="196"/>
      <c r="J876" s="196"/>
      <c r="K876" s="196"/>
      <c r="L876" s="196"/>
      <c r="M876" s="196"/>
      <c r="N876" s="196"/>
      <c r="O876" s="196"/>
      <c r="P876" s="196"/>
      <c r="Q876" s="196"/>
      <c r="R876" s="196"/>
      <c r="S876" s="196"/>
      <c r="T876" s="196"/>
      <c r="U876" s="196"/>
      <c r="V876" s="196"/>
      <c r="W876" s="196"/>
      <c r="X876" s="196"/>
      <c r="Y876" s="196"/>
      <c r="Z876" s="196"/>
      <c r="AA876" s="196"/>
      <c r="AB876" s="196"/>
      <c r="AC876" s="196"/>
      <c r="AD876" s="196"/>
      <c r="AE876" s="196"/>
      <c r="AF876" s="196"/>
      <c r="AG876" s="196"/>
      <c r="AH876" s="196"/>
      <c r="AI876" s="196"/>
      <c r="AJ876" s="196"/>
      <c r="AK876" s="196"/>
      <c r="AL876" s="196"/>
      <c r="AM876" s="196"/>
      <c r="AN876" s="196"/>
      <c r="AO876" s="196"/>
      <c r="AP876" s="196"/>
      <c r="AQ876" s="196"/>
      <c r="AR876" s="196"/>
      <c r="AS876" s="196"/>
    </row>
    <row r="877" spans="1:45" ht="15.75" customHeight="1">
      <c r="A877" s="196"/>
      <c r="B877" s="196"/>
      <c r="C877" s="88"/>
      <c r="D877" s="88"/>
      <c r="E877" s="88"/>
      <c r="F877" s="196"/>
      <c r="G877" s="196"/>
      <c r="H877" s="196"/>
      <c r="I877" s="196"/>
      <c r="J877" s="196"/>
      <c r="K877" s="196"/>
      <c r="L877" s="196"/>
      <c r="M877" s="196"/>
      <c r="N877" s="196"/>
      <c r="O877" s="196"/>
      <c r="P877" s="196"/>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c r="AN877" s="196"/>
      <c r="AO877" s="196"/>
      <c r="AP877" s="196"/>
      <c r="AQ877" s="196"/>
      <c r="AR877" s="196"/>
      <c r="AS877" s="196"/>
    </row>
    <row r="878" spans="1:45" ht="15.75" customHeight="1">
      <c r="A878" s="196"/>
      <c r="B878" s="196"/>
      <c r="C878" s="88"/>
      <c r="D878" s="88"/>
      <c r="E878" s="88"/>
      <c r="F878" s="196"/>
      <c r="G878" s="196"/>
      <c r="H878" s="196"/>
      <c r="I878" s="196"/>
      <c r="J878" s="196"/>
      <c r="K878" s="196"/>
      <c r="L878" s="196"/>
      <c r="M878" s="196"/>
      <c r="N878" s="196"/>
      <c r="O878" s="196"/>
      <c r="P878" s="196"/>
      <c r="Q878" s="196"/>
      <c r="R878" s="196"/>
      <c r="S878" s="196"/>
      <c r="T878" s="196"/>
      <c r="U878" s="196"/>
      <c r="V878" s="196"/>
      <c r="W878" s="196"/>
      <c r="X878" s="196"/>
      <c r="Y878" s="196"/>
      <c r="Z878" s="196"/>
      <c r="AA878" s="196"/>
      <c r="AB878" s="196"/>
      <c r="AC878" s="196"/>
      <c r="AD878" s="196"/>
      <c r="AE878" s="196"/>
      <c r="AF878" s="196"/>
      <c r="AG878" s="196"/>
      <c r="AH878" s="196"/>
      <c r="AI878" s="196"/>
      <c r="AJ878" s="196"/>
      <c r="AK878" s="196"/>
      <c r="AL878" s="196"/>
      <c r="AM878" s="196"/>
      <c r="AN878" s="196"/>
      <c r="AO878" s="196"/>
      <c r="AP878" s="196"/>
      <c r="AQ878" s="196"/>
      <c r="AR878" s="196"/>
      <c r="AS878" s="196"/>
    </row>
    <row r="879" spans="1:45" ht="15.75" customHeight="1">
      <c r="A879" s="196"/>
      <c r="B879" s="196"/>
      <c r="C879" s="88"/>
      <c r="D879" s="88"/>
      <c r="E879" s="88"/>
      <c r="F879" s="196"/>
      <c r="G879" s="196"/>
      <c r="H879" s="196"/>
      <c r="I879" s="196"/>
      <c r="J879" s="196"/>
      <c r="K879" s="196"/>
      <c r="L879" s="196"/>
      <c r="M879" s="196"/>
      <c r="N879" s="196"/>
      <c r="O879" s="196"/>
      <c r="P879" s="196"/>
      <c r="Q879" s="196"/>
      <c r="R879" s="196"/>
      <c r="S879" s="196"/>
      <c r="T879" s="196"/>
      <c r="U879" s="196"/>
      <c r="V879" s="196"/>
      <c r="W879" s="196"/>
      <c r="X879" s="196"/>
      <c r="Y879" s="196"/>
      <c r="Z879" s="196"/>
      <c r="AA879" s="196"/>
      <c r="AB879" s="196"/>
      <c r="AC879" s="196"/>
      <c r="AD879" s="196"/>
      <c r="AE879" s="196"/>
      <c r="AF879" s="196"/>
      <c r="AG879" s="196"/>
      <c r="AH879" s="196"/>
      <c r="AI879" s="196"/>
      <c r="AJ879" s="196"/>
      <c r="AK879" s="196"/>
      <c r="AL879" s="196"/>
      <c r="AM879" s="196"/>
      <c r="AN879" s="196"/>
      <c r="AO879" s="196"/>
      <c r="AP879" s="196"/>
      <c r="AQ879" s="196"/>
      <c r="AR879" s="196"/>
      <c r="AS879" s="196"/>
    </row>
    <row r="880" spans="1:45" ht="15.75" customHeight="1">
      <c r="A880" s="196"/>
      <c r="B880" s="196"/>
      <c r="C880" s="88"/>
      <c r="D880" s="88"/>
      <c r="E880" s="88"/>
      <c r="F880" s="196"/>
      <c r="G880" s="196"/>
      <c r="H880" s="196"/>
      <c r="I880" s="196"/>
      <c r="J880" s="196"/>
      <c r="K880" s="196"/>
      <c r="L880" s="196"/>
      <c r="M880" s="196"/>
      <c r="N880" s="196"/>
      <c r="O880" s="196"/>
      <c r="P880" s="196"/>
      <c r="Q880" s="196"/>
      <c r="R880" s="196"/>
      <c r="S880" s="196"/>
      <c r="T880" s="196"/>
      <c r="U880" s="196"/>
      <c r="V880" s="196"/>
      <c r="W880" s="196"/>
      <c r="X880" s="196"/>
      <c r="Y880" s="196"/>
      <c r="Z880" s="196"/>
      <c r="AA880" s="196"/>
      <c r="AB880" s="196"/>
      <c r="AC880" s="196"/>
      <c r="AD880" s="196"/>
      <c r="AE880" s="196"/>
      <c r="AF880" s="196"/>
      <c r="AG880" s="196"/>
      <c r="AH880" s="196"/>
      <c r="AI880" s="196"/>
      <c r="AJ880" s="196"/>
      <c r="AK880" s="196"/>
      <c r="AL880" s="196"/>
      <c r="AM880" s="196"/>
      <c r="AN880" s="196"/>
      <c r="AO880" s="196"/>
      <c r="AP880" s="196"/>
      <c r="AQ880" s="196"/>
      <c r="AR880" s="196"/>
      <c r="AS880" s="196"/>
    </row>
    <row r="881" spans="1:45" ht="15.75" customHeight="1">
      <c r="A881" s="196"/>
      <c r="B881" s="196"/>
      <c r="C881" s="88"/>
      <c r="D881" s="88"/>
      <c r="E881" s="88"/>
      <c r="F881" s="196"/>
      <c r="G881" s="196"/>
      <c r="H881" s="196"/>
      <c r="I881" s="196"/>
      <c r="J881" s="196"/>
      <c r="K881" s="196"/>
      <c r="L881" s="196"/>
      <c r="M881" s="196"/>
      <c r="N881" s="196"/>
      <c r="O881" s="196"/>
      <c r="P881" s="196"/>
      <c r="Q881" s="196"/>
      <c r="R881" s="196"/>
      <c r="S881" s="196"/>
      <c r="T881" s="196"/>
      <c r="U881" s="196"/>
      <c r="V881" s="196"/>
      <c r="W881" s="196"/>
      <c r="X881" s="196"/>
      <c r="Y881" s="196"/>
      <c r="Z881" s="196"/>
      <c r="AA881" s="196"/>
      <c r="AB881" s="196"/>
      <c r="AC881" s="196"/>
      <c r="AD881" s="196"/>
      <c r="AE881" s="196"/>
      <c r="AF881" s="196"/>
      <c r="AG881" s="196"/>
      <c r="AH881" s="196"/>
      <c r="AI881" s="196"/>
      <c r="AJ881" s="196"/>
      <c r="AK881" s="196"/>
      <c r="AL881" s="196"/>
      <c r="AM881" s="196"/>
      <c r="AN881" s="196"/>
      <c r="AO881" s="196"/>
      <c r="AP881" s="196"/>
      <c r="AQ881" s="196"/>
      <c r="AR881" s="196"/>
      <c r="AS881" s="196"/>
    </row>
    <row r="882" spans="1:45" ht="15.75" customHeight="1">
      <c r="A882" s="196"/>
      <c r="B882" s="196"/>
      <c r="C882" s="88"/>
      <c r="D882" s="88"/>
      <c r="E882" s="88"/>
      <c r="F882" s="196"/>
      <c r="G882" s="196"/>
      <c r="H882" s="196"/>
      <c r="I882" s="196"/>
      <c r="J882" s="196"/>
      <c r="K882" s="196"/>
      <c r="L882" s="196"/>
      <c r="M882" s="196"/>
      <c r="N882" s="196"/>
      <c r="O882" s="196"/>
      <c r="P882" s="196"/>
      <c r="Q882" s="196"/>
      <c r="R882" s="196"/>
      <c r="S882" s="196"/>
      <c r="T882" s="196"/>
      <c r="U882" s="196"/>
      <c r="V882" s="196"/>
      <c r="W882" s="196"/>
      <c r="X882" s="196"/>
      <c r="Y882" s="196"/>
      <c r="Z882" s="196"/>
      <c r="AA882" s="196"/>
      <c r="AB882" s="196"/>
      <c r="AC882" s="196"/>
      <c r="AD882" s="196"/>
      <c r="AE882" s="196"/>
      <c r="AF882" s="196"/>
      <c r="AG882" s="196"/>
      <c r="AH882" s="196"/>
      <c r="AI882" s="196"/>
      <c r="AJ882" s="196"/>
      <c r="AK882" s="196"/>
      <c r="AL882" s="196"/>
      <c r="AM882" s="196"/>
      <c r="AN882" s="196"/>
      <c r="AO882" s="196"/>
      <c r="AP882" s="196"/>
      <c r="AQ882" s="196"/>
      <c r="AR882" s="196"/>
      <c r="AS882" s="196"/>
    </row>
    <row r="883" spans="1:45" ht="15.75" customHeight="1">
      <c r="A883" s="196"/>
      <c r="B883" s="196"/>
      <c r="C883" s="88"/>
      <c r="D883" s="88"/>
      <c r="E883" s="88"/>
      <c r="F883" s="196"/>
      <c r="G883" s="196"/>
      <c r="H883" s="196"/>
      <c r="I883" s="196"/>
      <c r="J883" s="196"/>
      <c r="K883" s="196"/>
      <c r="L883" s="196"/>
      <c r="M883" s="196"/>
      <c r="N883" s="196"/>
      <c r="O883" s="196"/>
      <c r="P883" s="196"/>
      <c r="Q883" s="196"/>
      <c r="R883" s="196"/>
      <c r="S883" s="196"/>
      <c r="T883" s="196"/>
      <c r="U883" s="196"/>
      <c r="V883" s="196"/>
      <c r="W883" s="196"/>
      <c r="X883" s="196"/>
      <c r="Y883" s="196"/>
      <c r="Z883" s="196"/>
      <c r="AA883" s="196"/>
      <c r="AB883" s="196"/>
      <c r="AC883" s="196"/>
      <c r="AD883" s="196"/>
      <c r="AE883" s="196"/>
      <c r="AF883" s="196"/>
      <c r="AG883" s="196"/>
      <c r="AH883" s="196"/>
      <c r="AI883" s="196"/>
      <c r="AJ883" s="196"/>
      <c r="AK883" s="196"/>
      <c r="AL883" s="196"/>
      <c r="AM883" s="196"/>
      <c r="AN883" s="196"/>
      <c r="AO883" s="196"/>
      <c r="AP883" s="196"/>
      <c r="AQ883" s="196"/>
      <c r="AR883" s="196"/>
      <c r="AS883" s="196"/>
    </row>
    <row r="884" spans="1:45" ht="15.75" customHeight="1">
      <c r="A884" s="196"/>
      <c r="B884" s="196"/>
      <c r="C884" s="88"/>
      <c r="D884" s="88"/>
      <c r="E884" s="88"/>
      <c r="F884" s="196"/>
      <c r="G884" s="196"/>
      <c r="H884" s="196"/>
      <c r="I884" s="196"/>
      <c r="J884" s="196"/>
      <c r="K884" s="196"/>
      <c r="L884" s="196"/>
      <c r="M884" s="196"/>
      <c r="N884" s="196"/>
      <c r="O884" s="196"/>
      <c r="P884" s="196"/>
      <c r="Q884" s="196"/>
      <c r="R884" s="196"/>
      <c r="S884" s="196"/>
      <c r="T884" s="196"/>
      <c r="U884" s="196"/>
      <c r="V884" s="196"/>
      <c r="W884" s="196"/>
      <c r="X884" s="196"/>
      <c r="Y884" s="196"/>
      <c r="Z884" s="196"/>
      <c r="AA884" s="196"/>
      <c r="AB884" s="196"/>
      <c r="AC884" s="196"/>
      <c r="AD884" s="196"/>
      <c r="AE884" s="196"/>
      <c r="AF884" s="196"/>
      <c r="AG884" s="196"/>
      <c r="AH884" s="196"/>
      <c r="AI884" s="196"/>
      <c r="AJ884" s="196"/>
      <c r="AK884" s="196"/>
      <c r="AL884" s="196"/>
      <c r="AM884" s="196"/>
      <c r="AN884" s="196"/>
      <c r="AO884" s="196"/>
      <c r="AP884" s="196"/>
      <c r="AQ884" s="196"/>
      <c r="AR884" s="196"/>
      <c r="AS884" s="196"/>
    </row>
    <row r="885" spans="1:45" ht="15.75" customHeight="1">
      <c r="A885" s="196"/>
      <c r="B885" s="196"/>
      <c r="C885" s="88"/>
      <c r="D885" s="88"/>
      <c r="E885" s="88"/>
      <c r="F885" s="196"/>
      <c r="G885" s="196"/>
      <c r="H885" s="196"/>
      <c r="I885" s="196"/>
      <c r="J885" s="196"/>
      <c r="K885" s="196"/>
      <c r="L885" s="196"/>
      <c r="M885" s="196"/>
      <c r="N885" s="196"/>
      <c r="O885" s="196"/>
      <c r="P885" s="196"/>
      <c r="Q885" s="196"/>
      <c r="R885" s="196"/>
      <c r="S885" s="196"/>
      <c r="T885" s="196"/>
      <c r="U885" s="196"/>
      <c r="V885" s="196"/>
      <c r="W885" s="196"/>
      <c r="X885" s="196"/>
      <c r="Y885" s="196"/>
      <c r="Z885" s="196"/>
      <c r="AA885" s="196"/>
      <c r="AB885" s="196"/>
      <c r="AC885" s="196"/>
      <c r="AD885" s="196"/>
      <c r="AE885" s="196"/>
      <c r="AF885" s="196"/>
      <c r="AG885" s="196"/>
      <c r="AH885" s="196"/>
      <c r="AI885" s="196"/>
      <c r="AJ885" s="196"/>
      <c r="AK885" s="196"/>
      <c r="AL885" s="196"/>
      <c r="AM885" s="196"/>
      <c r="AN885" s="196"/>
      <c r="AO885" s="196"/>
      <c r="AP885" s="196"/>
      <c r="AQ885" s="196"/>
      <c r="AR885" s="196"/>
      <c r="AS885" s="196"/>
    </row>
    <row r="886" spans="1:45" ht="15.75" customHeight="1">
      <c r="A886" s="196"/>
      <c r="B886" s="196"/>
      <c r="C886" s="88"/>
      <c r="D886" s="88"/>
      <c r="E886" s="88"/>
      <c r="F886" s="196"/>
      <c r="G886" s="196"/>
      <c r="H886" s="196"/>
      <c r="I886" s="196"/>
      <c r="J886" s="196"/>
      <c r="K886" s="196"/>
      <c r="L886" s="196"/>
      <c r="M886" s="196"/>
      <c r="N886" s="196"/>
      <c r="O886" s="196"/>
      <c r="P886" s="196"/>
      <c r="Q886" s="196"/>
      <c r="R886" s="196"/>
      <c r="S886" s="196"/>
      <c r="T886" s="196"/>
      <c r="U886" s="196"/>
      <c r="V886" s="196"/>
      <c r="W886" s="196"/>
      <c r="X886" s="196"/>
      <c r="Y886" s="196"/>
      <c r="Z886" s="196"/>
      <c r="AA886" s="196"/>
      <c r="AB886" s="196"/>
      <c r="AC886" s="196"/>
      <c r="AD886" s="196"/>
      <c r="AE886" s="196"/>
      <c r="AF886" s="196"/>
      <c r="AG886" s="196"/>
      <c r="AH886" s="196"/>
      <c r="AI886" s="196"/>
      <c r="AJ886" s="196"/>
      <c r="AK886" s="196"/>
      <c r="AL886" s="196"/>
      <c r="AM886" s="196"/>
      <c r="AN886" s="196"/>
      <c r="AO886" s="196"/>
      <c r="AP886" s="196"/>
      <c r="AQ886" s="196"/>
      <c r="AR886" s="196"/>
      <c r="AS886" s="196"/>
    </row>
    <row r="887" spans="1:45" ht="15.75" customHeight="1">
      <c r="A887" s="196"/>
      <c r="B887" s="196"/>
      <c r="C887" s="88"/>
      <c r="D887" s="88"/>
      <c r="E887" s="88"/>
      <c r="F887" s="196"/>
      <c r="G887" s="196"/>
      <c r="H887" s="196"/>
      <c r="I887" s="196"/>
      <c r="J887" s="196"/>
      <c r="K887" s="196"/>
      <c r="L887" s="196"/>
      <c r="M887" s="196"/>
      <c r="N887" s="196"/>
      <c r="O887" s="196"/>
      <c r="P887" s="196"/>
      <c r="Q887" s="196"/>
      <c r="R887" s="196"/>
      <c r="S887" s="196"/>
      <c r="T887" s="196"/>
      <c r="U887" s="196"/>
      <c r="V887" s="196"/>
      <c r="W887" s="196"/>
      <c r="X887" s="196"/>
      <c r="Y887" s="196"/>
      <c r="Z887" s="196"/>
      <c r="AA887" s="196"/>
      <c r="AB887" s="196"/>
      <c r="AC887" s="196"/>
      <c r="AD887" s="196"/>
      <c r="AE887" s="196"/>
      <c r="AF887" s="196"/>
      <c r="AG887" s="196"/>
      <c r="AH887" s="196"/>
      <c r="AI887" s="196"/>
      <c r="AJ887" s="196"/>
      <c r="AK887" s="196"/>
      <c r="AL887" s="196"/>
      <c r="AM887" s="196"/>
      <c r="AN887" s="196"/>
      <c r="AO887" s="196"/>
      <c r="AP887" s="196"/>
      <c r="AQ887" s="196"/>
      <c r="AR887" s="196"/>
      <c r="AS887" s="196"/>
    </row>
    <row r="888" spans="1:45" ht="15.75" customHeight="1">
      <c r="A888" s="196"/>
      <c r="B888" s="196"/>
      <c r="C888" s="88"/>
      <c r="D888" s="88"/>
      <c r="E888" s="88"/>
      <c r="F888" s="196"/>
      <c r="G888" s="196"/>
      <c r="H888" s="196"/>
      <c r="I888" s="196"/>
      <c r="J888" s="196"/>
      <c r="K888" s="196"/>
      <c r="L888" s="196"/>
      <c r="M888" s="196"/>
      <c r="N888" s="196"/>
      <c r="O888" s="196"/>
      <c r="P888" s="196"/>
      <c r="Q888" s="196"/>
      <c r="R888" s="196"/>
      <c r="S888" s="196"/>
      <c r="T888" s="196"/>
      <c r="U888" s="196"/>
      <c r="V888" s="196"/>
      <c r="W888" s="196"/>
      <c r="X888" s="196"/>
      <c r="Y888" s="196"/>
      <c r="Z888" s="196"/>
      <c r="AA888" s="196"/>
      <c r="AB888" s="196"/>
      <c r="AC888" s="196"/>
      <c r="AD888" s="196"/>
      <c r="AE888" s="196"/>
      <c r="AF888" s="196"/>
      <c r="AG888" s="196"/>
      <c r="AH888" s="196"/>
      <c r="AI888" s="196"/>
      <c r="AJ888" s="196"/>
      <c r="AK888" s="196"/>
      <c r="AL888" s="196"/>
      <c r="AM888" s="196"/>
      <c r="AN888" s="196"/>
      <c r="AO888" s="196"/>
      <c r="AP888" s="196"/>
      <c r="AQ888" s="196"/>
      <c r="AR888" s="196"/>
      <c r="AS888" s="196"/>
    </row>
    <row r="889" spans="1:45" ht="15.75" customHeight="1">
      <c r="A889" s="196"/>
      <c r="B889" s="196"/>
      <c r="C889" s="88"/>
      <c r="D889" s="88"/>
      <c r="E889" s="88"/>
      <c r="F889" s="196"/>
      <c r="G889" s="196"/>
      <c r="H889" s="196"/>
      <c r="I889" s="196"/>
      <c r="J889" s="196"/>
      <c r="K889" s="196"/>
      <c r="L889" s="196"/>
      <c r="M889" s="196"/>
      <c r="N889" s="196"/>
      <c r="O889" s="196"/>
      <c r="P889" s="196"/>
      <c r="Q889" s="196"/>
      <c r="R889" s="196"/>
      <c r="S889" s="196"/>
      <c r="T889" s="196"/>
      <c r="U889" s="196"/>
      <c r="V889" s="196"/>
      <c r="W889" s="196"/>
      <c r="X889" s="196"/>
      <c r="Y889" s="196"/>
      <c r="Z889" s="196"/>
      <c r="AA889" s="196"/>
      <c r="AB889" s="196"/>
      <c r="AC889" s="196"/>
      <c r="AD889" s="196"/>
      <c r="AE889" s="196"/>
      <c r="AF889" s="196"/>
      <c r="AG889" s="196"/>
      <c r="AH889" s="196"/>
      <c r="AI889" s="196"/>
      <c r="AJ889" s="196"/>
      <c r="AK889" s="196"/>
      <c r="AL889" s="196"/>
      <c r="AM889" s="196"/>
      <c r="AN889" s="196"/>
      <c r="AO889" s="196"/>
      <c r="AP889" s="196"/>
      <c r="AQ889" s="196"/>
      <c r="AR889" s="196"/>
      <c r="AS889" s="196"/>
    </row>
    <row r="890" spans="1:45" ht="15.75" customHeight="1">
      <c r="A890" s="196"/>
      <c r="B890" s="196"/>
      <c r="C890" s="88"/>
      <c r="D890" s="88"/>
      <c r="E890" s="88"/>
      <c r="F890" s="196"/>
      <c r="G890" s="196"/>
      <c r="H890" s="196"/>
      <c r="I890" s="196"/>
      <c r="J890" s="196"/>
      <c r="K890" s="196"/>
      <c r="L890" s="196"/>
      <c r="M890" s="196"/>
      <c r="N890" s="196"/>
      <c r="O890" s="196"/>
      <c r="P890" s="196"/>
      <c r="Q890" s="196"/>
      <c r="R890" s="196"/>
      <c r="S890" s="196"/>
      <c r="T890" s="196"/>
      <c r="U890" s="196"/>
      <c r="V890" s="196"/>
      <c r="W890" s="196"/>
      <c r="X890" s="196"/>
      <c r="Y890" s="196"/>
      <c r="Z890" s="196"/>
      <c r="AA890" s="196"/>
      <c r="AB890" s="196"/>
      <c r="AC890" s="196"/>
      <c r="AD890" s="196"/>
      <c r="AE890" s="196"/>
      <c r="AF890" s="196"/>
      <c r="AG890" s="196"/>
      <c r="AH890" s="196"/>
      <c r="AI890" s="196"/>
      <c r="AJ890" s="196"/>
      <c r="AK890" s="196"/>
      <c r="AL890" s="196"/>
      <c r="AM890" s="196"/>
      <c r="AN890" s="196"/>
      <c r="AO890" s="196"/>
      <c r="AP890" s="196"/>
      <c r="AQ890" s="196"/>
      <c r="AR890" s="196"/>
      <c r="AS890" s="196"/>
    </row>
    <row r="891" spans="1:45" ht="15.75" customHeight="1">
      <c r="A891" s="196"/>
      <c r="B891" s="196"/>
      <c r="C891" s="88"/>
      <c r="D891" s="88"/>
      <c r="E891" s="88"/>
      <c r="F891" s="196"/>
      <c r="G891" s="196"/>
      <c r="H891" s="196"/>
      <c r="I891" s="196"/>
      <c r="J891" s="196"/>
      <c r="K891" s="196"/>
      <c r="L891" s="196"/>
      <c r="M891" s="196"/>
      <c r="N891" s="196"/>
      <c r="O891" s="196"/>
      <c r="P891" s="196"/>
      <c r="Q891" s="196"/>
      <c r="R891" s="196"/>
      <c r="S891" s="196"/>
      <c r="T891" s="196"/>
      <c r="U891" s="196"/>
      <c r="V891" s="196"/>
      <c r="W891" s="196"/>
      <c r="X891" s="196"/>
      <c r="Y891" s="196"/>
      <c r="Z891" s="196"/>
      <c r="AA891" s="196"/>
      <c r="AB891" s="196"/>
      <c r="AC891" s="196"/>
      <c r="AD891" s="196"/>
      <c r="AE891" s="196"/>
      <c r="AF891" s="196"/>
      <c r="AG891" s="196"/>
      <c r="AH891" s="196"/>
      <c r="AI891" s="196"/>
      <c r="AJ891" s="196"/>
      <c r="AK891" s="196"/>
      <c r="AL891" s="196"/>
      <c r="AM891" s="196"/>
      <c r="AN891" s="196"/>
      <c r="AO891" s="196"/>
      <c r="AP891" s="196"/>
      <c r="AQ891" s="196"/>
      <c r="AR891" s="196"/>
      <c r="AS891" s="196"/>
    </row>
    <row r="892" spans="1:45" ht="15.75" customHeight="1">
      <c r="A892" s="196"/>
      <c r="B892" s="196"/>
      <c r="C892" s="88"/>
      <c r="D892" s="88"/>
      <c r="E892" s="88"/>
      <c r="F892" s="196"/>
      <c r="G892" s="196"/>
      <c r="H892" s="196"/>
      <c r="I892" s="196"/>
      <c r="J892" s="196"/>
      <c r="K892" s="196"/>
      <c r="L892" s="196"/>
      <c r="M892" s="196"/>
      <c r="N892" s="196"/>
      <c r="O892" s="196"/>
      <c r="P892" s="196"/>
      <c r="Q892" s="196"/>
      <c r="R892" s="196"/>
      <c r="S892" s="196"/>
      <c r="T892" s="196"/>
      <c r="U892" s="196"/>
      <c r="V892" s="196"/>
      <c r="W892" s="196"/>
      <c r="X892" s="196"/>
      <c r="Y892" s="196"/>
      <c r="Z892" s="196"/>
      <c r="AA892" s="196"/>
      <c r="AB892" s="196"/>
      <c r="AC892" s="196"/>
      <c r="AD892" s="196"/>
      <c r="AE892" s="196"/>
      <c r="AF892" s="196"/>
      <c r="AG892" s="196"/>
      <c r="AH892" s="196"/>
      <c r="AI892" s="196"/>
      <c r="AJ892" s="196"/>
      <c r="AK892" s="196"/>
      <c r="AL892" s="196"/>
      <c r="AM892" s="196"/>
      <c r="AN892" s="196"/>
      <c r="AO892" s="196"/>
      <c r="AP892" s="196"/>
      <c r="AQ892" s="196"/>
      <c r="AR892" s="196"/>
      <c r="AS892" s="196"/>
    </row>
    <row r="893" spans="1:45" ht="15.75" customHeight="1">
      <c r="A893" s="196"/>
      <c r="B893" s="196"/>
      <c r="C893" s="88"/>
      <c r="D893" s="88"/>
      <c r="E893" s="88"/>
      <c r="F893" s="196"/>
      <c r="G893" s="196"/>
      <c r="H893" s="196"/>
      <c r="I893" s="196"/>
      <c r="J893" s="196"/>
      <c r="K893" s="196"/>
      <c r="L893" s="196"/>
      <c r="M893" s="196"/>
      <c r="N893" s="196"/>
      <c r="O893" s="196"/>
      <c r="P893" s="196"/>
      <c r="Q893" s="196"/>
      <c r="R893" s="196"/>
      <c r="S893" s="196"/>
      <c r="T893" s="196"/>
      <c r="U893" s="196"/>
      <c r="V893" s="196"/>
      <c r="W893" s="196"/>
      <c r="X893" s="196"/>
      <c r="Y893" s="196"/>
      <c r="Z893" s="196"/>
      <c r="AA893" s="196"/>
      <c r="AB893" s="196"/>
      <c r="AC893" s="196"/>
      <c r="AD893" s="196"/>
      <c r="AE893" s="196"/>
      <c r="AF893" s="196"/>
      <c r="AG893" s="196"/>
      <c r="AH893" s="196"/>
      <c r="AI893" s="196"/>
      <c r="AJ893" s="196"/>
      <c r="AK893" s="196"/>
      <c r="AL893" s="196"/>
      <c r="AM893" s="196"/>
      <c r="AN893" s="196"/>
      <c r="AO893" s="196"/>
      <c r="AP893" s="196"/>
      <c r="AQ893" s="196"/>
      <c r="AR893" s="196"/>
      <c r="AS893" s="196"/>
    </row>
    <row r="894" spans="1:45" ht="15.75" customHeight="1">
      <c r="A894" s="196"/>
      <c r="B894" s="196"/>
      <c r="C894" s="88"/>
      <c r="D894" s="88"/>
      <c r="E894" s="88"/>
      <c r="F894" s="196"/>
      <c r="G894" s="196"/>
      <c r="H894" s="196"/>
      <c r="I894" s="196"/>
      <c r="J894" s="196"/>
      <c r="K894" s="196"/>
      <c r="L894" s="196"/>
      <c r="M894" s="196"/>
      <c r="N894" s="196"/>
      <c r="O894" s="196"/>
      <c r="P894" s="196"/>
      <c r="Q894" s="196"/>
      <c r="R894" s="196"/>
      <c r="S894" s="196"/>
      <c r="T894" s="196"/>
      <c r="U894" s="196"/>
      <c r="V894" s="196"/>
      <c r="W894" s="196"/>
      <c r="X894" s="196"/>
      <c r="Y894" s="196"/>
      <c r="Z894" s="196"/>
      <c r="AA894" s="196"/>
      <c r="AB894" s="196"/>
      <c r="AC894" s="196"/>
      <c r="AD894" s="196"/>
      <c r="AE894" s="196"/>
      <c r="AF894" s="196"/>
      <c r="AG894" s="196"/>
      <c r="AH894" s="196"/>
      <c r="AI894" s="196"/>
      <c r="AJ894" s="196"/>
      <c r="AK894" s="196"/>
      <c r="AL894" s="196"/>
      <c r="AM894" s="196"/>
      <c r="AN894" s="196"/>
      <c r="AO894" s="196"/>
      <c r="AP894" s="196"/>
      <c r="AQ894" s="196"/>
      <c r="AR894" s="196"/>
      <c r="AS894" s="196"/>
    </row>
    <row r="895" spans="1:45" ht="15.75" customHeight="1">
      <c r="A895" s="196"/>
      <c r="B895" s="196"/>
      <c r="C895" s="88"/>
      <c r="D895" s="88"/>
      <c r="E895" s="88"/>
      <c r="F895" s="196"/>
      <c r="G895" s="196"/>
      <c r="H895" s="196"/>
      <c r="I895" s="196"/>
      <c r="J895" s="196"/>
      <c r="K895" s="196"/>
      <c r="L895" s="196"/>
      <c r="M895" s="196"/>
      <c r="N895" s="196"/>
      <c r="O895" s="196"/>
      <c r="P895" s="196"/>
      <c r="Q895" s="196"/>
      <c r="R895" s="196"/>
      <c r="S895" s="196"/>
      <c r="T895" s="196"/>
      <c r="U895" s="196"/>
      <c r="V895" s="196"/>
      <c r="W895" s="196"/>
      <c r="X895" s="196"/>
      <c r="Y895" s="196"/>
      <c r="Z895" s="196"/>
      <c r="AA895" s="196"/>
      <c r="AB895" s="196"/>
      <c r="AC895" s="196"/>
      <c r="AD895" s="196"/>
      <c r="AE895" s="196"/>
      <c r="AF895" s="196"/>
      <c r="AG895" s="196"/>
      <c r="AH895" s="196"/>
      <c r="AI895" s="196"/>
      <c r="AJ895" s="196"/>
      <c r="AK895" s="196"/>
      <c r="AL895" s="196"/>
      <c r="AM895" s="196"/>
      <c r="AN895" s="196"/>
      <c r="AO895" s="196"/>
      <c r="AP895" s="196"/>
      <c r="AQ895" s="196"/>
      <c r="AR895" s="196"/>
      <c r="AS895" s="196"/>
    </row>
    <row r="896" spans="1:45" ht="15.75" customHeight="1">
      <c r="A896" s="196"/>
      <c r="B896" s="196"/>
      <c r="C896" s="88"/>
      <c r="D896" s="88"/>
      <c r="E896" s="88"/>
      <c r="F896" s="196"/>
      <c r="G896" s="196"/>
      <c r="H896" s="196"/>
      <c r="I896" s="196"/>
      <c r="J896" s="196"/>
      <c r="K896" s="196"/>
      <c r="L896" s="196"/>
      <c r="M896" s="196"/>
      <c r="N896" s="196"/>
      <c r="O896" s="196"/>
      <c r="P896" s="196"/>
      <c r="Q896" s="196"/>
      <c r="R896" s="196"/>
      <c r="S896" s="196"/>
      <c r="T896" s="196"/>
      <c r="U896" s="196"/>
      <c r="V896" s="196"/>
      <c r="W896" s="196"/>
      <c r="X896" s="196"/>
      <c r="Y896" s="196"/>
      <c r="Z896" s="196"/>
      <c r="AA896" s="196"/>
      <c r="AB896" s="196"/>
      <c r="AC896" s="196"/>
      <c r="AD896" s="196"/>
      <c r="AE896" s="196"/>
      <c r="AF896" s="196"/>
      <c r="AG896" s="196"/>
      <c r="AH896" s="196"/>
      <c r="AI896" s="196"/>
      <c r="AJ896" s="196"/>
      <c r="AK896" s="196"/>
      <c r="AL896" s="196"/>
      <c r="AM896" s="196"/>
      <c r="AN896" s="196"/>
      <c r="AO896" s="196"/>
      <c r="AP896" s="196"/>
      <c r="AQ896" s="196"/>
      <c r="AR896" s="196"/>
      <c r="AS896" s="196"/>
    </row>
    <row r="897" spans="1:45" ht="15.75" customHeight="1">
      <c r="A897" s="196"/>
      <c r="B897" s="196"/>
      <c r="C897" s="88"/>
      <c r="D897" s="88"/>
      <c r="E897" s="88"/>
      <c r="F897" s="196"/>
      <c r="G897" s="196"/>
      <c r="H897" s="196"/>
      <c r="I897" s="196"/>
      <c r="J897" s="196"/>
      <c r="K897" s="196"/>
      <c r="L897" s="196"/>
      <c r="M897" s="196"/>
      <c r="N897" s="196"/>
      <c r="O897" s="196"/>
      <c r="P897" s="196"/>
      <c r="Q897" s="196"/>
      <c r="R897" s="196"/>
      <c r="S897" s="196"/>
      <c r="T897" s="196"/>
      <c r="U897" s="196"/>
      <c r="V897" s="196"/>
      <c r="W897" s="196"/>
      <c r="X897" s="196"/>
      <c r="Y897" s="196"/>
      <c r="Z897" s="196"/>
      <c r="AA897" s="196"/>
      <c r="AB897" s="196"/>
      <c r="AC897" s="196"/>
      <c r="AD897" s="196"/>
      <c r="AE897" s="196"/>
      <c r="AF897" s="196"/>
      <c r="AG897" s="196"/>
      <c r="AH897" s="196"/>
      <c r="AI897" s="196"/>
      <c r="AJ897" s="196"/>
      <c r="AK897" s="196"/>
      <c r="AL897" s="196"/>
      <c r="AM897" s="196"/>
      <c r="AN897" s="196"/>
      <c r="AO897" s="196"/>
      <c r="AP897" s="196"/>
      <c r="AQ897" s="196"/>
      <c r="AR897" s="196"/>
      <c r="AS897" s="196"/>
    </row>
    <row r="898" spans="1:45" ht="15.75" customHeight="1">
      <c r="A898" s="196"/>
      <c r="B898" s="196"/>
      <c r="C898" s="88"/>
      <c r="D898" s="88"/>
      <c r="E898" s="88"/>
      <c r="F898" s="196"/>
      <c r="G898" s="196"/>
      <c r="H898" s="196"/>
      <c r="I898" s="196"/>
      <c r="J898" s="196"/>
      <c r="K898" s="196"/>
      <c r="L898" s="196"/>
      <c r="M898" s="196"/>
      <c r="N898" s="196"/>
      <c r="O898" s="196"/>
      <c r="P898" s="196"/>
      <c r="Q898" s="196"/>
      <c r="R898" s="196"/>
      <c r="S898" s="196"/>
      <c r="T898" s="196"/>
      <c r="U898" s="196"/>
      <c r="V898" s="196"/>
      <c r="W898" s="196"/>
      <c r="X898" s="196"/>
      <c r="Y898" s="196"/>
      <c r="Z898" s="196"/>
      <c r="AA898" s="196"/>
      <c r="AB898" s="196"/>
      <c r="AC898" s="196"/>
      <c r="AD898" s="196"/>
      <c r="AE898" s="196"/>
      <c r="AF898" s="196"/>
      <c r="AG898" s="196"/>
      <c r="AH898" s="196"/>
      <c r="AI898" s="196"/>
      <c r="AJ898" s="196"/>
      <c r="AK898" s="196"/>
      <c r="AL898" s="196"/>
      <c r="AM898" s="196"/>
      <c r="AN898" s="196"/>
      <c r="AO898" s="196"/>
      <c r="AP898" s="196"/>
      <c r="AQ898" s="196"/>
      <c r="AR898" s="196"/>
      <c r="AS898" s="196"/>
    </row>
    <row r="899" spans="1:45" ht="15.75" customHeight="1">
      <c r="A899" s="196"/>
      <c r="B899" s="196"/>
      <c r="C899" s="88"/>
      <c r="D899" s="88"/>
      <c r="E899" s="88"/>
      <c r="F899" s="196"/>
      <c r="G899" s="196"/>
      <c r="H899" s="196"/>
      <c r="I899" s="196"/>
      <c r="J899" s="196"/>
      <c r="K899" s="196"/>
      <c r="L899" s="196"/>
      <c r="M899" s="196"/>
      <c r="N899" s="196"/>
      <c r="O899" s="196"/>
      <c r="P899" s="196"/>
      <c r="Q899" s="196"/>
      <c r="R899" s="196"/>
      <c r="S899" s="196"/>
      <c r="T899" s="196"/>
      <c r="U899" s="196"/>
      <c r="V899" s="196"/>
      <c r="W899" s="196"/>
      <c r="X899" s="196"/>
      <c r="Y899" s="196"/>
      <c r="Z899" s="196"/>
      <c r="AA899" s="196"/>
      <c r="AB899" s="196"/>
      <c r="AC899" s="196"/>
      <c r="AD899" s="196"/>
      <c r="AE899" s="196"/>
      <c r="AF899" s="196"/>
      <c r="AG899" s="196"/>
      <c r="AH899" s="196"/>
      <c r="AI899" s="196"/>
      <c r="AJ899" s="196"/>
      <c r="AK899" s="196"/>
      <c r="AL899" s="196"/>
      <c r="AM899" s="196"/>
      <c r="AN899" s="196"/>
      <c r="AO899" s="196"/>
      <c r="AP899" s="196"/>
      <c r="AQ899" s="196"/>
      <c r="AR899" s="196"/>
      <c r="AS899" s="196"/>
    </row>
    <row r="900" spans="1:45" ht="15.75" customHeight="1">
      <c r="A900" s="196"/>
      <c r="B900" s="196"/>
      <c r="C900" s="88"/>
      <c r="D900" s="88"/>
      <c r="E900" s="88"/>
      <c r="F900" s="196"/>
      <c r="G900" s="196"/>
      <c r="H900" s="196"/>
      <c r="I900" s="196"/>
      <c r="J900" s="196"/>
      <c r="K900" s="196"/>
      <c r="L900" s="196"/>
      <c r="M900" s="196"/>
      <c r="N900" s="196"/>
      <c r="O900" s="196"/>
      <c r="P900" s="196"/>
      <c r="Q900" s="196"/>
      <c r="R900" s="196"/>
      <c r="S900" s="196"/>
      <c r="T900" s="196"/>
      <c r="U900" s="196"/>
      <c r="V900" s="196"/>
      <c r="W900" s="196"/>
      <c r="X900" s="196"/>
      <c r="Y900" s="196"/>
      <c r="Z900" s="196"/>
      <c r="AA900" s="196"/>
      <c r="AB900" s="196"/>
      <c r="AC900" s="196"/>
      <c r="AD900" s="196"/>
      <c r="AE900" s="196"/>
      <c r="AF900" s="196"/>
      <c r="AG900" s="196"/>
      <c r="AH900" s="196"/>
      <c r="AI900" s="196"/>
      <c r="AJ900" s="196"/>
      <c r="AK900" s="196"/>
      <c r="AL900" s="196"/>
      <c r="AM900" s="196"/>
      <c r="AN900" s="196"/>
      <c r="AO900" s="196"/>
      <c r="AP900" s="196"/>
      <c r="AQ900" s="196"/>
      <c r="AR900" s="196"/>
      <c r="AS900" s="196"/>
    </row>
    <row r="901" spans="1:45" ht="15.75" customHeight="1">
      <c r="A901" s="196"/>
      <c r="B901" s="196"/>
      <c r="C901" s="88"/>
      <c r="D901" s="88"/>
      <c r="E901" s="88"/>
      <c r="F901" s="196"/>
      <c r="G901" s="196"/>
      <c r="H901" s="196"/>
      <c r="I901" s="196"/>
      <c r="J901" s="196"/>
      <c r="K901" s="196"/>
      <c r="L901" s="196"/>
      <c r="M901" s="196"/>
      <c r="N901" s="196"/>
      <c r="O901" s="196"/>
      <c r="P901" s="196"/>
      <c r="Q901" s="196"/>
      <c r="R901" s="196"/>
      <c r="S901" s="196"/>
      <c r="T901" s="196"/>
      <c r="U901" s="196"/>
      <c r="V901" s="196"/>
      <c r="W901" s="196"/>
      <c r="X901" s="196"/>
      <c r="Y901" s="196"/>
      <c r="Z901" s="196"/>
      <c r="AA901" s="196"/>
      <c r="AB901" s="196"/>
      <c r="AC901" s="196"/>
      <c r="AD901" s="196"/>
      <c r="AE901" s="196"/>
      <c r="AF901" s="196"/>
      <c r="AG901" s="196"/>
      <c r="AH901" s="196"/>
      <c r="AI901" s="196"/>
      <c r="AJ901" s="196"/>
      <c r="AK901" s="196"/>
      <c r="AL901" s="196"/>
      <c r="AM901" s="196"/>
      <c r="AN901" s="196"/>
      <c r="AO901" s="196"/>
      <c r="AP901" s="196"/>
      <c r="AQ901" s="196"/>
      <c r="AR901" s="196"/>
      <c r="AS901" s="196"/>
    </row>
    <row r="902" spans="1:45" ht="15.75" customHeight="1">
      <c r="A902" s="196"/>
      <c r="B902" s="196"/>
      <c r="C902" s="88"/>
      <c r="D902" s="88"/>
      <c r="E902" s="88"/>
      <c r="F902" s="196"/>
      <c r="G902" s="196"/>
      <c r="H902" s="196"/>
      <c r="I902" s="196"/>
      <c r="J902" s="196"/>
      <c r="K902" s="196"/>
      <c r="L902" s="196"/>
      <c r="M902" s="196"/>
      <c r="N902" s="196"/>
      <c r="O902" s="196"/>
      <c r="P902" s="196"/>
      <c r="Q902" s="196"/>
      <c r="R902" s="196"/>
      <c r="S902" s="196"/>
      <c r="T902" s="196"/>
      <c r="U902" s="196"/>
      <c r="V902" s="196"/>
      <c r="W902" s="196"/>
      <c r="X902" s="196"/>
      <c r="Y902" s="196"/>
      <c r="Z902" s="196"/>
      <c r="AA902" s="196"/>
      <c r="AB902" s="196"/>
      <c r="AC902" s="196"/>
      <c r="AD902" s="196"/>
      <c r="AE902" s="196"/>
      <c r="AF902" s="196"/>
      <c r="AG902" s="196"/>
      <c r="AH902" s="196"/>
      <c r="AI902" s="196"/>
      <c r="AJ902" s="196"/>
      <c r="AK902" s="196"/>
      <c r="AL902" s="196"/>
      <c r="AM902" s="196"/>
      <c r="AN902" s="196"/>
      <c r="AO902" s="196"/>
      <c r="AP902" s="196"/>
      <c r="AQ902" s="196"/>
      <c r="AR902" s="196"/>
      <c r="AS902" s="196"/>
    </row>
    <row r="903" spans="1:45" ht="15.75" customHeight="1">
      <c r="A903" s="196"/>
      <c r="B903" s="196"/>
      <c r="C903" s="88"/>
      <c r="D903" s="88"/>
      <c r="E903" s="88"/>
      <c r="F903" s="196"/>
      <c r="G903" s="196"/>
      <c r="H903" s="196"/>
      <c r="I903" s="196"/>
      <c r="J903" s="196"/>
      <c r="K903" s="196"/>
      <c r="L903" s="196"/>
      <c r="M903" s="196"/>
      <c r="N903" s="196"/>
      <c r="O903" s="196"/>
      <c r="P903" s="196"/>
      <c r="Q903" s="196"/>
      <c r="R903" s="196"/>
      <c r="S903" s="196"/>
      <c r="T903" s="196"/>
      <c r="U903" s="196"/>
      <c r="V903" s="196"/>
      <c r="W903" s="196"/>
      <c r="X903" s="196"/>
      <c r="Y903" s="196"/>
      <c r="Z903" s="196"/>
      <c r="AA903" s="196"/>
      <c r="AB903" s="196"/>
      <c r="AC903" s="196"/>
      <c r="AD903" s="196"/>
      <c r="AE903" s="196"/>
      <c r="AF903" s="196"/>
      <c r="AG903" s="196"/>
      <c r="AH903" s="196"/>
      <c r="AI903" s="196"/>
      <c r="AJ903" s="196"/>
      <c r="AK903" s="196"/>
      <c r="AL903" s="196"/>
      <c r="AM903" s="196"/>
      <c r="AN903" s="196"/>
      <c r="AO903" s="196"/>
      <c r="AP903" s="196"/>
      <c r="AQ903" s="196"/>
      <c r="AR903" s="196"/>
      <c r="AS903" s="196"/>
    </row>
    <row r="904" spans="1:45" ht="15.75" customHeight="1">
      <c r="A904" s="196"/>
      <c r="B904" s="196"/>
      <c r="C904" s="88"/>
      <c r="D904" s="88"/>
      <c r="E904" s="88"/>
      <c r="F904" s="196"/>
      <c r="G904" s="196"/>
      <c r="H904" s="196"/>
      <c r="I904" s="196"/>
      <c r="J904" s="196"/>
      <c r="K904" s="196"/>
      <c r="L904" s="196"/>
      <c r="M904" s="196"/>
      <c r="N904" s="196"/>
      <c r="O904" s="196"/>
      <c r="P904" s="196"/>
      <c r="Q904" s="196"/>
      <c r="R904" s="196"/>
      <c r="S904" s="196"/>
      <c r="T904" s="196"/>
      <c r="U904" s="196"/>
      <c r="V904" s="196"/>
      <c r="W904" s="196"/>
      <c r="X904" s="196"/>
      <c r="Y904" s="196"/>
      <c r="Z904" s="196"/>
      <c r="AA904" s="196"/>
      <c r="AB904" s="196"/>
      <c r="AC904" s="196"/>
      <c r="AD904" s="196"/>
      <c r="AE904" s="196"/>
      <c r="AF904" s="196"/>
      <c r="AG904" s="196"/>
      <c r="AH904" s="196"/>
      <c r="AI904" s="196"/>
      <c r="AJ904" s="196"/>
      <c r="AK904" s="196"/>
      <c r="AL904" s="196"/>
      <c r="AM904" s="196"/>
      <c r="AN904" s="196"/>
      <c r="AO904" s="196"/>
      <c r="AP904" s="196"/>
      <c r="AQ904" s="196"/>
      <c r="AR904" s="196"/>
      <c r="AS904" s="196"/>
    </row>
    <row r="905" spans="1:45" ht="15.75" customHeight="1">
      <c r="A905" s="196"/>
      <c r="B905" s="196"/>
      <c r="C905" s="88"/>
      <c r="D905" s="88"/>
      <c r="E905" s="88"/>
      <c r="F905" s="196"/>
      <c r="G905" s="196"/>
      <c r="H905" s="196"/>
      <c r="I905" s="196"/>
      <c r="J905" s="196"/>
      <c r="K905" s="196"/>
      <c r="L905" s="196"/>
      <c r="M905" s="196"/>
      <c r="N905" s="196"/>
      <c r="O905" s="196"/>
      <c r="P905" s="196"/>
      <c r="Q905" s="196"/>
      <c r="R905" s="196"/>
      <c r="S905" s="196"/>
      <c r="T905" s="196"/>
      <c r="U905" s="196"/>
      <c r="V905" s="196"/>
      <c r="W905" s="196"/>
      <c r="X905" s="196"/>
      <c r="Y905" s="196"/>
      <c r="Z905" s="196"/>
      <c r="AA905" s="196"/>
      <c r="AB905" s="196"/>
      <c r="AC905" s="196"/>
      <c r="AD905" s="196"/>
      <c r="AE905" s="196"/>
      <c r="AF905" s="196"/>
      <c r="AG905" s="196"/>
      <c r="AH905" s="196"/>
      <c r="AI905" s="196"/>
      <c r="AJ905" s="196"/>
      <c r="AK905" s="196"/>
      <c r="AL905" s="196"/>
      <c r="AM905" s="196"/>
      <c r="AN905" s="196"/>
      <c r="AO905" s="196"/>
      <c r="AP905" s="196"/>
      <c r="AQ905" s="196"/>
      <c r="AR905" s="196"/>
      <c r="AS905" s="196"/>
    </row>
    <row r="906" spans="1:45" ht="15.75" customHeight="1">
      <c r="A906" s="196"/>
      <c r="B906" s="196"/>
      <c r="C906" s="88"/>
      <c r="D906" s="88"/>
      <c r="E906" s="88"/>
      <c r="F906" s="196"/>
      <c r="G906" s="196"/>
      <c r="H906" s="196"/>
      <c r="I906" s="196"/>
      <c r="J906" s="196"/>
      <c r="K906" s="196"/>
      <c r="L906" s="196"/>
      <c r="M906" s="196"/>
      <c r="N906" s="196"/>
      <c r="O906" s="196"/>
      <c r="P906" s="196"/>
      <c r="Q906" s="196"/>
      <c r="R906" s="196"/>
      <c r="S906" s="196"/>
      <c r="T906" s="196"/>
      <c r="U906" s="196"/>
      <c r="V906" s="196"/>
      <c r="W906" s="196"/>
      <c r="X906" s="196"/>
      <c r="Y906" s="196"/>
      <c r="Z906" s="196"/>
      <c r="AA906" s="196"/>
      <c r="AB906" s="196"/>
      <c r="AC906" s="196"/>
      <c r="AD906" s="196"/>
      <c r="AE906" s="196"/>
      <c r="AF906" s="196"/>
      <c r="AG906" s="196"/>
      <c r="AH906" s="196"/>
      <c r="AI906" s="196"/>
      <c r="AJ906" s="196"/>
      <c r="AK906" s="196"/>
      <c r="AL906" s="196"/>
      <c r="AM906" s="196"/>
      <c r="AN906" s="196"/>
      <c r="AO906" s="196"/>
      <c r="AP906" s="196"/>
      <c r="AQ906" s="196"/>
      <c r="AR906" s="196"/>
      <c r="AS906" s="196"/>
    </row>
    <row r="907" spans="1:45" ht="15.75" customHeight="1">
      <c r="A907" s="196"/>
      <c r="B907" s="196"/>
      <c r="C907" s="88"/>
      <c r="D907" s="88"/>
      <c r="E907" s="88"/>
      <c r="F907" s="196"/>
      <c r="G907" s="196"/>
      <c r="H907" s="196"/>
      <c r="I907" s="196"/>
      <c r="J907" s="196"/>
      <c r="K907" s="196"/>
      <c r="L907" s="196"/>
      <c r="M907" s="196"/>
      <c r="N907" s="196"/>
      <c r="O907" s="196"/>
      <c r="P907" s="196"/>
      <c r="Q907" s="196"/>
      <c r="R907" s="196"/>
      <c r="S907" s="196"/>
      <c r="T907" s="196"/>
      <c r="U907" s="196"/>
      <c r="V907" s="196"/>
      <c r="W907" s="196"/>
      <c r="X907" s="196"/>
      <c r="Y907" s="196"/>
      <c r="Z907" s="196"/>
      <c r="AA907" s="196"/>
      <c r="AB907" s="196"/>
      <c r="AC907" s="196"/>
      <c r="AD907" s="196"/>
      <c r="AE907" s="196"/>
      <c r="AF907" s="196"/>
      <c r="AG907" s="196"/>
      <c r="AH907" s="196"/>
      <c r="AI907" s="196"/>
      <c r="AJ907" s="196"/>
      <c r="AK907" s="196"/>
      <c r="AL907" s="196"/>
      <c r="AM907" s="196"/>
      <c r="AN907" s="196"/>
      <c r="AO907" s="196"/>
      <c r="AP907" s="196"/>
      <c r="AQ907" s="196"/>
      <c r="AR907" s="196"/>
      <c r="AS907" s="196"/>
    </row>
    <row r="908" spans="1:45" ht="15.75" customHeight="1">
      <c r="A908" s="196"/>
      <c r="B908" s="196"/>
      <c r="C908" s="88"/>
      <c r="D908" s="88"/>
      <c r="E908" s="88"/>
      <c r="F908" s="196"/>
      <c r="G908" s="196"/>
      <c r="H908" s="196"/>
      <c r="I908" s="196"/>
      <c r="J908" s="196"/>
      <c r="K908" s="196"/>
      <c r="L908" s="196"/>
      <c r="M908" s="196"/>
      <c r="N908" s="196"/>
      <c r="O908" s="196"/>
      <c r="P908" s="196"/>
      <c r="Q908" s="196"/>
      <c r="R908" s="196"/>
      <c r="S908" s="196"/>
      <c r="T908" s="196"/>
      <c r="U908" s="196"/>
      <c r="V908" s="196"/>
      <c r="W908" s="196"/>
      <c r="X908" s="196"/>
      <c r="Y908" s="196"/>
      <c r="Z908" s="196"/>
      <c r="AA908" s="196"/>
      <c r="AB908" s="196"/>
      <c r="AC908" s="196"/>
      <c r="AD908" s="196"/>
      <c r="AE908" s="196"/>
      <c r="AF908" s="196"/>
      <c r="AG908" s="196"/>
      <c r="AH908" s="196"/>
      <c r="AI908" s="196"/>
      <c r="AJ908" s="196"/>
      <c r="AK908" s="196"/>
      <c r="AL908" s="196"/>
      <c r="AM908" s="196"/>
      <c r="AN908" s="196"/>
      <c r="AO908" s="196"/>
      <c r="AP908" s="196"/>
      <c r="AQ908" s="196"/>
      <c r="AR908" s="196"/>
      <c r="AS908" s="196"/>
    </row>
    <row r="909" spans="1:45" ht="15.75" customHeight="1">
      <c r="A909" s="196"/>
      <c r="B909" s="196"/>
      <c r="C909" s="88"/>
      <c r="D909" s="88"/>
      <c r="E909" s="88"/>
      <c r="F909" s="196"/>
      <c r="G909" s="196"/>
      <c r="H909" s="196"/>
      <c r="I909" s="196"/>
      <c r="J909" s="196"/>
      <c r="K909" s="196"/>
      <c r="L909" s="196"/>
      <c r="M909" s="196"/>
      <c r="N909" s="196"/>
      <c r="O909" s="196"/>
      <c r="P909" s="196"/>
      <c r="Q909" s="196"/>
      <c r="R909" s="196"/>
      <c r="S909" s="196"/>
      <c r="T909" s="196"/>
      <c r="U909" s="196"/>
      <c r="V909" s="196"/>
      <c r="W909" s="196"/>
      <c r="X909" s="196"/>
      <c r="Y909" s="196"/>
      <c r="Z909" s="196"/>
      <c r="AA909" s="196"/>
      <c r="AB909" s="196"/>
      <c r="AC909" s="196"/>
      <c r="AD909" s="196"/>
      <c r="AE909" s="196"/>
      <c r="AF909" s="196"/>
      <c r="AG909" s="196"/>
      <c r="AH909" s="196"/>
      <c r="AI909" s="196"/>
      <c r="AJ909" s="196"/>
      <c r="AK909" s="196"/>
      <c r="AL909" s="196"/>
      <c r="AM909" s="196"/>
      <c r="AN909" s="196"/>
      <c r="AO909" s="196"/>
      <c r="AP909" s="196"/>
      <c r="AQ909" s="196"/>
      <c r="AR909" s="196"/>
      <c r="AS909" s="196"/>
    </row>
    <row r="910" spans="1:45" ht="15.75" customHeight="1">
      <c r="A910" s="196"/>
      <c r="B910" s="196"/>
      <c r="C910" s="88"/>
      <c r="D910" s="88"/>
      <c r="E910" s="88"/>
      <c r="F910" s="196"/>
      <c r="G910" s="196"/>
      <c r="H910" s="196"/>
      <c r="I910" s="196"/>
      <c r="J910" s="196"/>
      <c r="K910" s="196"/>
      <c r="L910" s="196"/>
      <c r="M910" s="196"/>
      <c r="N910" s="196"/>
      <c r="O910" s="196"/>
      <c r="P910" s="196"/>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c r="AQ910" s="196"/>
      <c r="AR910" s="196"/>
      <c r="AS910" s="196"/>
    </row>
    <row r="911" spans="1:45" ht="15.75" customHeight="1">
      <c r="A911" s="196"/>
      <c r="B911" s="196"/>
      <c r="C911" s="88"/>
      <c r="D911" s="88"/>
      <c r="E911" s="88"/>
      <c r="F911" s="196"/>
      <c r="G911" s="196"/>
      <c r="H911" s="196"/>
      <c r="I911" s="196"/>
      <c r="J911" s="196"/>
      <c r="K911" s="196"/>
      <c r="L911" s="196"/>
      <c r="M911" s="196"/>
      <c r="N911" s="196"/>
      <c r="O911" s="196"/>
      <c r="P911" s="196"/>
      <c r="Q911" s="196"/>
      <c r="R911" s="196"/>
      <c r="S911" s="196"/>
      <c r="T911" s="196"/>
      <c r="U911" s="196"/>
      <c r="V911" s="196"/>
      <c r="W911" s="196"/>
      <c r="X911" s="196"/>
      <c r="Y911" s="196"/>
      <c r="Z911" s="196"/>
      <c r="AA911" s="196"/>
      <c r="AB911" s="196"/>
      <c r="AC911" s="196"/>
      <c r="AD911" s="196"/>
      <c r="AE911" s="196"/>
      <c r="AF911" s="196"/>
      <c r="AG911" s="196"/>
      <c r="AH911" s="196"/>
      <c r="AI911" s="196"/>
      <c r="AJ911" s="196"/>
      <c r="AK911" s="196"/>
      <c r="AL911" s="196"/>
      <c r="AM911" s="196"/>
      <c r="AN911" s="196"/>
      <c r="AO911" s="196"/>
      <c r="AP911" s="196"/>
      <c r="AQ911" s="196"/>
      <c r="AR911" s="196"/>
      <c r="AS911" s="196"/>
    </row>
    <row r="912" spans="1:45" ht="15.75" customHeight="1">
      <c r="A912" s="196"/>
      <c r="B912" s="196"/>
      <c r="C912" s="88"/>
      <c r="D912" s="88"/>
      <c r="E912" s="88"/>
      <c r="F912" s="196"/>
      <c r="G912" s="196"/>
      <c r="H912" s="196"/>
      <c r="I912" s="196"/>
      <c r="J912" s="196"/>
      <c r="K912" s="196"/>
      <c r="L912" s="196"/>
      <c r="M912" s="196"/>
      <c r="N912" s="196"/>
      <c r="O912" s="196"/>
      <c r="P912" s="196"/>
      <c r="Q912" s="196"/>
      <c r="R912" s="196"/>
      <c r="S912" s="196"/>
      <c r="T912" s="196"/>
      <c r="U912" s="196"/>
      <c r="V912" s="196"/>
      <c r="W912" s="196"/>
      <c r="X912" s="196"/>
      <c r="Y912" s="196"/>
      <c r="Z912" s="196"/>
      <c r="AA912" s="196"/>
      <c r="AB912" s="196"/>
      <c r="AC912" s="196"/>
      <c r="AD912" s="196"/>
      <c r="AE912" s="196"/>
      <c r="AF912" s="196"/>
      <c r="AG912" s="196"/>
      <c r="AH912" s="196"/>
      <c r="AI912" s="196"/>
      <c r="AJ912" s="196"/>
      <c r="AK912" s="196"/>
      <c r="AL912" s="196"/>
      <c r="AM912" s="196"/>
      <c r="AN912" s="196"/>
      <c r="AO912" s="196"/>
      <c r="AP912" s="196"/>
      <c r="AQ912" s="196"/>
      <c r="AR912" s="196"/>
      <c r="AS912" s="196"/>
    </row>
    <row r="913" spans="1:45" ht="15.75" customHeight="1">
      <c r="A913" s="196"/>
      <c r="B913" s="196"/>
      <c r="C913" s="88"/>
      <c r="D913" s="88"/>
      <c r="E913" s="88"/>
      <c r="F913" s="196"/>
      <c r="G913" s="196"/>
      <c r="H913" s="196"/>
      <c r="I913" s="196"/>
      <c r="J913" s="196"/>
      <c r="K913" s="196"/>
      <c r="L913" s="196"/>
      <c r="M913" s="196"/>
      <c r="N913" s="196"/>
      <c r="O913" s="196"/>
      <c r="P913" s="196"/>
      <c r="Q913" s="196"/>
      <c r="R913" s="196"/>
      <c r="S913" s="196"/>
      <c r="T913" s="196"/>
      <c r="U913" s="196"/>
      <c r="V913" s="196"/>
      <c r="W913" s="196"/>
      <c r="X913" s="196"/>
      <c r="Y913" s="196"/>
      <c r="Z913" s="196"/>
      <c r="AA913" s="196"/>
      <c r="AB913" s="196"/>
      <c r="AC913" s="196"/>
      <c r="AD913" s="196"/>
      <c r="AE913" s="196"/>
      <c r="AF913" s="196"/>
      <c r="AG913" s="196"/>
      <c r="AH913" s="196"/>
      <c r="AI913" s="196"/>
      <c r="AJ913" s="196"/>
      <c r="AK913" s="196"/>
      <c r="AL913" s="196"/>
      <c r="AM913" s="196"/>
      <c r="AN913" s="196"/>
      <c r="AO913" s="196"/>
      <c r="AP913" s="196"/>
      <c r="AQ913" s="196"/>
      <c r="AR913" s="196"/>
      <c r="AS913" s="196"/>
    </row>
    <row r="914" spans="1:45" ht="15.75" customHeight="1">
      <c r="A914" s="196"/>
      <c r="B914" s="196"/>
      <c r="C914" s="88"/>
      <c r="D914" s="88"/>
      <c r="E914" s="88"/>
      <c r="F914" s="196"/>
      <c r="G914" s="196"/>
      <c r="H914" s="196"/>
      <c r="I914" s="196"/>
      <c r="J914" s="196"/>
      <c r="K914" s="196"/>
      <c r="L914" s="196"/>
      <c r="M914" s="196"/>
      <c r="N914" s="196"/>
      <c r="O914" s="196"/>
      <c r="P914" s="196"/>
      <c r="Q914" s="196"/>
      <c r="R914" s="196"/>
      <c r="S914" s="196"/>
      <c r="T914" s="196"/>
      <c r="U914" s="196"/>
      <c r="V914" s="196"/>
      <c r="W914" s="196"/>
      <c r="X914" s="196"/>
      <c r="Y914" s="196"/>
      <c r="Z914" s="196"/>
      <c r="AA914" s="196"/>
      <c r="AB914" s="196"/>
      <c r="AC914" s="196"/>
      <c r="AD914" s="196"/>
      <c r="AE914" s="196"/>
      <c r="AF914" s="196"/>
      <c r="AG914" s="196"/>
      <c r="AH914" s="196"/>
      <c r="AI914" s="196"/>
      <c r="AJ914" s="196"/>
      <c r="AK914" s="196"/>
      <c r="AL914" s="196"/>
      <c r="AM914" s="196"/>
      <c r="AN914" s="196"/>
      <c r="AO914" s="196"/>
      <c r="AP914" s="196"/>
      <c r="AQ914" s="196"/>
      <c r="AR914" s="196"/>
      <c r="AS914" s="196"/>
    </row>
    <row r="915" spans="1:45" ht="15.75" customHeight="1">
      <c r="A915" s="196"/>
      <c r="B915" s="196"/>
      <c r="C915" s="88"/>
      <c r="D915" s="88"/>
      <c r="E915" s="88"/>
      <c r="F915" s="196"/>
      <c r="G915" s="196"/>
      <c r="H915" s="196"/>
      <c r="I915" s="196"/>
      <c r="J915" s="196"/>
      <c r="K915" s="196"/>
      <c r="L915" s="196"/>
      <c r="M915" s="196"/>
      <c r="N915" s="196"/>
      <c r="O915" s="196"/>
      <c r="P915" s="196"/>
      <c r="Q915" s="196"/>
      <c r="R915" s="196"/>
      <c r="S915" s="196"/>
      <c r="T915" s="196"/>
      <c r="U915" s="196"/>
      <c r="V915" s="196"/>
      <c r="W915" s="196"/>
      <c r="X915" s="196"/>
      <c r="Y915" s="196"/>
      <c r="Z915" s="196"/>
      <c r="AA915" s="196"/>
      <c r="AB915" s="196"/>
      <c r="AC915" s="196"/>
      <c r="AD915" s="196"/>
      <c r="AE915" s="196"/>
      <c r="AF915" s="196"/>
      <c r="AG915" s="196"/>
      <c r="AH915" s="196"/>
      <c r="AI915" s="196"/>
      <c r="AJ915" s="196"/>
      <c r="AK915" s="196"/>
      <c r="AL915" s="196"/>
      <c r="AM915" s="196"/>
      <c r="AN915" s="196"/>
      <c r="AO915" s="196"/>
      <c r="AP915" s="196"/>
      <c r="AQ915" s="196"/>
      <c r="AR915" s="196"/>
      <c r="AS915" s="196"/>
    </row>
    <row r="916" spans="1:45" ht="15.75" customHeight="1">
      <c r="A916" s="196"/>
      <c r="B916" s="196"/>
      <c r="C916" s="88"/>
      <c r="D916" s="88"/>
      <c r="E916" s="88"/>
      <c r="F916" s="196"/>
      <c r="G916" s="196"/>
      <c r="H916" s="196"/>
      <c r="I916" s="196"/>
      <c r="J916" s="196"/>
      <c r="K916" s="196"/>
      <c r="L916" s="196"/>
      <c r="M916" s="196"/>
      <c r="N916" s="196"/>
      <c r="O916" s="196"/>
      <c r="P916" s="196"/>
      <c r="Q916" s="196"/>
      <c r="R916" s="196"/>
      <c r="S916" s="196"/>
      <c r="T916" s="196"/>
      <c r="U916" s="196"/>
      <c r="V916" s="196"/>
      <c r="W916" s="196"/>
      <c r="X916" s="196"/>
      <c r="Y916" s="196"/>
      <c r="Z916" s="196"/>
      <c r="AA916" s="196"/>
      <c r="AB916" s="196"/>
      <c r="AC916" s="196"/>
      <c r="AD916" s="196"/>
      <c r="AE916" s="196"/>
      <c r="AF916" s="196"/>
      <c r="AG916" s="196"/>
      <c r="AH916" s="196"/>
      <c r="AI916" s="196"/>
      <c r="AJ916" s="196"/>
      <c r="AK916" s="196"/>
      <c r="AL916" s="196"/>
      <c r="AM916" s="196"/>
      <c r="AN916" s="196"/>
      <c r="AO916" s="196"/>
      <c r="AP916" s="196"/>
      <c r="AQ916" s="196"/>
      <c r="AR916" s="196"/>
      <c r="AS916" s="196"/>
    </row>
    <row r="917" spans="1:45" ht="15.75" customHeight="1">
      <c r="A917" s="196"/>
      <c r="B917" s="196"/>
      <c r="C917" s="88"/>
      <c r="D917" s="88"/>
      <c r="E917" s="88"/>
      <c r="F917" s="196"/>
      <c r="G917" s="196"/>
      <c r="H917" s="196"/>
      <c r="I917" s="196"/>
      <c r="J917" s="196"/>
      <c r="K917" s="196"/>
      <c r="L917" s="196"/>
      <c r="M917" s="196"/>
      <c r="N917" s="196"/>
      <c r="O917" s="196"/>
      <c r="P917" s="196"/>
      <c r="Q917" s="196"/>
      <c r="R917" s="196"/>
      <c r="S917" s="196"/>
      <c r="T917" s="196"/>
      <c r="U917" s="196"/>
      <c r="V917" s="196"/>
      <c r="W917" s="196"/>
      <c r="X917" s="196"/>
      <c r="Y917" s="196"/>
      <c r="Z917" s="196"/>
      <c r="AA917" s="196"/>
      <c r="AB917" s="196"/>
      <c r="AC917" s="196"/>
      <c r="AD917" s="196"/>
      <c r="AE917" s="196"/>
      <c r="AF917" s="196"/>
      <c r="AG917" s="196"/>
      <c r="AH917" s="196"/>
      <c r="AI917" s="196"/>
      <c r="AJ917" s="196"/>
      <c r="AK917" s="196"/>
      <c r="AL917" s="196"/>
      <c r="AM917" s="196"/>
      <c r="AN917" s="196"/>
      <c r="AO917" s="196"/>
      <c r="AP917" s="196"/>
      <c r="AQ917" s="196"/>
      <c r="AR917" s="196"/>
      <c r="AS917" s="196"/>
    </row>
    <row r="918" spans="1:45" ht="15.75" customHeight="1">
      <c r="A918" s="196"/>
      <c r="B918" s="196"/>
      <c r="C918" s="88"/>
      <c r="D918" s="88"/>
      <c r="E918" s="88"/>
      <c r="F918" s="196"/>
      <c r="G918" s="196"/>
      <c r="H918" s="196"/>
      <c r="I918" s="196"/>
      <c r="J918" s="196"/>
      <c r="K918" s="196"/>
      <c r="L918" s="196"/>
      <c r="M918" s="196"/>
      <c r="N918" s="196"/>
      <c r="O918" s="196"/>
      <c r="P918" s="196"/>
      <c r="Q918" s="196"/>
      <c r="R918" s="196"/>
      <c r="S918" s="196"/>
      <c r="T918" s="196"/>
      <c r="U918" s="196"/>
      <c r="V918" s="196"/>
      <c r="W918" s="196"/>
      <c r="X918" s="196"/>
      <c r="Y918" s="196"/>
      <c r="Z918" s="196"/>
      <c r="AA918" s="196"/>
      <c r="AB918" s="196"/>
      <c r="AC918" s="196"/>
      <c r="AD918" s="196"/>
      <c r="AE918" s="196"/>
      <c r="AF918" s="196"/>
      <c r="AG918" s="196"/>
      <c r="AH918" s="196"/>
      <c r="AI918" s="196"/>
      <c r="AJ918" s="196"/>
      <c r="AK918" s="196"/>
      <c r="AL918" s="196"/>
      <c r="AM918" s="196"/>
      <c r="AN918" s="196"/>
      <c r="AO918" s="196"/>
      <c r="AP918" s="196"/>
      <c r="AQ918" s="196"/>
      <c r="AR918" s="196"/>
      <c r="AS918" s="196"/>
    </row>
    <row r="919" spans="1:45" ht="15.75" customHeight="1">
      <c r="A919" s="196"/>
      <c r="B919" s="196"/>
      <c r="C919" s="88"/>
      <c r="D919" s="88"/>
      <c r="E919" s="88"/>
      <c r="F919" s="196"/>
      <c r="G919" s="196"/>
      <c r="H919" s="196"/>
      <c r="I919" s="196"/>
      <c r="J919" s="196"/>
      <c r="K919" s="196"/>
      <c r="L919" s="196"/>
      <c r="M919" s="196"/>
      <c r="N919" s="196"/>
      <c r="O919" s="196"/>
      <c r="P919" s="196"/>
      <c r="Q919" s="196"/>
      <c r="R919" s="196"/>
      <c r="S919" s="196"/>
      <c r="T919" s="196"/>
      <c r="U919" s="196"/>
      <c r="V919" s="196"/>
      <c r="W919" s="196"/>
      <c r="X919" s="196"/>
      <c r="Y919" s="196"/>
      <c r="Z919" s="196"/>
      <c r="AA919" s="196"/>
      <c r="AB919" s="196"/>
      <c r="AC919" s="196"/>
      <c r="AD919" s="196"/>
      <c r="AE919" s="196"/>
      <c r="AF919" s="196"/>
      <c r="AG919" s="196"/>
      <c r="AH919" s="196"/>
      <c r="AI919" s="196"/>
      <c r="AJ919" s="196"/>
      <c r="AK919" s="196"/>
      <c r="AL919" s="196"/>
      <c r="AM919" s="196"/>
      <c r="AN919" s="196"/>
      <c r="AO919" s="196"/>
      <c r="AP919" s="196"/>
      <c r="AQ919" s="196"/>
      <c r="AR919" s="196"/>
      <c r="AS919" s="196"/>
    </row>
    <row r="920" spans="1:45" ht="15.75" customHeight="1">
      <c r="A920" s="196"/>
      <c r="B920" s="196"/>
      <c r="C920" s="88"/>
      <c r="D920" s="88"/>
      <c r="E920" s="88"/>
      <c r="F920" s="196"/>
      <c r="G920" s="196"/>
      <c r="H920" s="196"/>
      <c r="I920" s="196"/>
      <c r="J920" s="196"/>
      <c r="K920" s="196"/>
      <c r="L920" s="196"/>
      <c r="M920" s="196"/>
      <c r="N920" s="196"/>
      <c r="O920" s="196"/>
      <c r="P920" s="196"/>
      <c r="Q920" s="196"/>
      <c r="R920" s="196"/>
      <c r="S920" s="196"/>
      <c r="T920" s="196"/>
      <c r="U920" s="196"/>
      <c r="V920" s="196"/>
      <c r="W920" s="196"/>
      <c r="X920" s="196"/>
      <c r="Y920" s="196"/>
      <c r="Z920" s="196"/>
      <c r="AA920" s="196"/>
      <c r="AB920" s="196"/>
      <c r="AC920" s="196"/>
      <c r="AD920" s="196"/>
      <c r="AE920" s="196"/>
      <c r="AF920" s="196"/>
      <c r="AG920" s="196"/>
      <c r="AH920" s="196"/>
      <c r="AI920" s="196"/>
      <c r="AJ920" s="196"/>
      <c r="AK920" s="196"/>
      <c r="AL920" s="196"/>
      <c r="AM920" s="196"/>
      <c r="AN920" s="196"/>
      <c r="AO920" s="196"/>
      <c r="AP920" s="196"/>
      <c r="AQ920" s="196"/>
      <c r="AR920" s="196"/>
      <c r="AS920" s="196"/>
    </row>
    <row r="921" spans="1:45" ht="15.75" customHeight="1">
      <c r="A921" s="196"/>
      <c r="B921" s="196"/>
      <c r="C921" s="88"/>
      <c r="D921" s="88"/>
      <c r="E921" s="88"/>
      <c r="F921" s="196"/>
      <c r="G921" s="196"/>
      <c r="H921" s="196"/>
      <c r="I921" s="196"/>
      <c r="J921" s="196"/>
      <c r="K921" s="196"/>
      <c r="L921" s="196"/>
      <c r="M921" s="196"/>
      <c r="N921" s="196"/>
      <c r="O921" s="196"/>
      <c r="P921" s="196"/>
      <c r="Q921" s="196"/>
      <c r="R921" s="196"/>
      <c r="S921" s="196"/>
      <c r="T921" s="196"/>
      <c r="U921" s="196"/>
      <c r="V921" s="196"/>
      <c r="W921" s="196"/>
      <c r="X921" s="196"/>
      <c r="Y921" s="196"/>
      <c r="Z921" s="196"/>
      <c r="AA921" s="196"/>
      <c r="AB921" s="196"/>
      <c r="AC921" s="196"/>
      <c r="AD921" s="196"/>
      <c r="AE921" s="196"/>
      <c r="AF921" s="196"/>
      <c r="AG921" s="196"/>
      <c r="AH921" s="196"/>
      <c r="AI921" s="196"/>
      <c r="AJ921" s="196"/>
      <c r="AK921" s="196"/>
      <c r="AL921" s="196"/>
      <c r="AM921" s="196"/>
      <c r="AN921" s="196"/>
      <c r="AO921" s="196"/>
      <c r="AP921" s="196"/>
      <c r="AQ921" s="196"/>
      <c r="AR921" s="196"/>
      <c r="AS921" s="196"/>
    </row>
    <row r="922" spans="1:45" ht="15.75" customHeight="1">
      <c r="A922" s="196"/>
      <c r="B922" s="196"/>
      <c r="C922" s="88"/>
      <c r="D922" s="88"/>
      <c r="E922" s="88"/>
      <c r="F922" s="196"/>
      <c r="G922" s="196"/>
      <c r="H922" s="196"/>
      <c r="I922" s="196"/>
      <c r="J922" s="196"/>
      <c r="K922" s="196"/>
      <c r="L922" s="196"/>
      <c r="M922" s="196"/>
      <c r="N922" s="196"/>
      <c r="O922" s="196"/>
      <c r="P922" s="196"/>
      <c r="Q922" s="196"/>
      <c r="R922" s="196"/>
      <c r="S922" s="196"/>
      <c r="T922" s="196"/>
      <c r="U922" s="196"/>
      <c r="V922" s="196"/>
      <c r="W922" s="196"/>
      <c r="X922" s="196"/>
      <c r="Y922" s="196"/>
      <c r="Z922" s="196"/>
      <c r="AA922" s="196"/>
      <c r="AB922" s="196"/>
      <c r="AC922" s="196"/>
      <c r="AD922" s="196"/>
      <c r="AE922" s="196"/>
      <c r="AF922" s="196"/>
      <c r="AG922" s="196"/>
      <c r="AH922" s="196"/>
      <c r="AI922" s="196"/>
      <c r="AJ922" s="196"/>
      <c r="AK922" s="196"/>
      <c r="AL922" s="196"/>
      <c r="AM922" s="196"/>
      <c r="AN922" s="196"/>
      <c r="AO922" s="196"/>
      <c r="AP922" s="196"/>
      <c r="AQ922" s="196"/>
      <c r="AR922" s="196"/>
      <c r="AS922" s="196"/>
    </row>
    <row r="923" spans="1:45" ht="15.75" customHeight="1">
      <c r="A923" s="196"/>
      <c r="B923" s="196"/>
      <c r="C923" s="88"/>
      <c r="D923" s="88"/>
      <c r="E923" s="88"/>
      <c r="F923" s="196"/>
      <c r="G923" s="196"/>
      <c r="H923" s="196"/>
      <c r="I923" s="196"/>
      <c r="J923" s="196"/>
      <c r="K923" s="196"/>
      <c r="L923" s="196"/>
      <c r="M923" s="196"/>
      <c r="N923" s="196"/>
      <c r="O923" s="196"/>
      <c r="P923" s="196"/>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c r="AN923" s="196"/>
      <c r="AO923" s="196"/>
      <c r="AP923" s="196"/>
      <c r="AQ923" s="196"/>
      <c r="AR923" s="196"/>
      <c r="AS923" s="196"/>
    </row>
    <row r="924" spans="1:45" ht="15.75" customHeight="1">
      <c r="A924" s="196"/>
      <c r="B924" s="196"/>
      <c r="C924" s="88"/>
      <c r="D924" s="88"/>
      <c r="E924" s="88"/>
      <c r="F924" s="196"/>
      <c r="G924" s="196"/>
      <c r="H924" s="196"/>
      <c r="I924" s="196"/>
      <c r="J924" s="196"/>
      <c r="K924" s="196"/>
      <c r="L924" s="196"/>
      <c r="M924" s="196"/>
      <c r="N924" s="196"/>
      <c r="O924" s="196"/>
      <c r="P924" s="196"/>
      <c r="Q924" s="196"/>
      <c r="R924" s="196"/>
      <c r="S924" s="196"/>
      <c r="T924" s="196"/>
      <c r="U924" s="196"/>
      <c r="V924" s="196"/>
      <c r="W924" s="196"/>
      <c r="X924" s="196"/>
      <c r="Y924" s="196"/>
      <c r="Z924" s="196"/>
      <c r="AA924" s="196"/>
      <c r="AB924" s="196"/>
      <c r="AC924" s="196"/>
      <c r="AD924" s="196"/>
      <c r="AE924" s="196"/>
      <c r="AF924" s="196"/>
      <c r="AG924" s="196"/>
      <c r="AH924" s="196"/>
      <c r="AI924" s="196"/>
      <c r="AJ924" s="196"/>
      <c r="AK924" s="196"/>
      <c r="AL924" s="196"/>
      <c r="AM924" s="196"/>
      <c r="AN924" s="196"/>
      <c r="AO924" s="196"/>
      <c r="AP924" s="196"/>
      <c r="AQ924" s="196"/>
      <c r="AR924" s="196"/>
      <c r="AS924" s="196"/>
    </row>
    <row r="925" spans="1:45" ht="15.75" customHeight="1">
      <c r="A925" s="196"/>
      <c r="B925" s="196"/>
      <c r="C925" s="88"/>
      <c r="D925" s="88"/>
      <c r="E925" s="88"/>
      <c r="F925" s="196"/>
      <c r="G925" s="196"/>
      <c r="H925" s="196"/>
      <c r="I925" s="196"/>
      <c r="J925" s="196"/>
      <c r="K925" s="196"/>
      <c r="L925" s="196"/>
      <c r="M925" s="196"/>
      <c r="N925" s="196"/>
      <c r="O925" s="196"/>
      <c r="P925" s="196"/>
      <c r="Q925" s="196"/>
      <c r="R925" s="196"/>
      <c r="S925" s="196"/>
      <c r="T925" s="196"/>
      <c r="U925" s="196"/>
      <c r="V925" s="196"/>
      <c r="W925" s="196"/>
      <c r="X925" s="196"/>
      <c r="Y925" s="196"/>
      <c r="Z925" s="196"/>
      <c r="AA925" s="196"/>
      <c r="AB925" s="196"/>
      <c r="AC925" s="196"/>
      <c r="AD925" s="196"/>
      <c r="AE925" s="196"/>
      <c r="AF925" s="196"/>
      <c r="AG925" s="196"/>
      <c r="AH925" s="196"/>
      <c r="AI925" s="196"/>
      <c r="AJ925" s="196"/>
      <c r="AK925" s="196"/>
      <c r="AL925" s="196"/>
      <c r="AM925" s="196"/>
      <c r="AN925" s="196"/>
      <c r="AO925" s="196"/>
      <c r="AP925" s="196"/>
      <c r="AQ925" s="196"/>
      <c r="AR925" s="196"/>
      <c r="AS925" s="196"/>
    </row>
    <row r="926" spans="1:45" ht="15.75" customHeight="1">
      <c r="A926" s="196"/>
      <c r="B926" s="196"/>
      <c r="C926" s="88"/>
      <c r="D926" s="88"/>
      <c r="E926" s="88"/>
      <c r="F926" s="196"/>
      <c r="G926" s="196"/>
      <c r="H926" s="196"/>
      <c r="I926" s="196"/>
      <c r="J926" s="196"/>
      <c r="K926" s="196"/>
      <c r="L926" s="196"/>
      <c r="M926" s="196"/>
      <c r="N926" s="196"/>
      <c r="O926" s="196"/>
      <c r="P926" s="196"/>
      <c r="Q926" s="196"/>
      <c r="R926" s="196"/>
      <c r="S926" s="196"/>
      <c r="T926" s="196"/>
      <c r="U926" s="196"/>
      <c r="V926" s="196"/>
      <c r="W926" s="196"/>
      <c r="X926" s="196"/>
      <c r="Y926" s="196"/>
      <c r="Z926" s="196"/>
      <c r="AA926" s="196"/>
      <c r="AB926" s="196"/>
      <c r="AC926" s="196"/>
      <c r="AD926" s="196"/>
      <c r="AE926" s="196"/>
      <c r="AF926" s="196"/>
      <c r="AG926" s="196"/>
      <c r="AH926" s="196"/>
      <c r="AI926" s="196"/>
      <c r="AJ926" s="196"/>
      <c r="AK926" s="196"/>
      <c r="AL926" s="196"/>
      <c r="AM926" s="196"/>
      <c r="AN926" s="196"/>
      <c r="AO926" s="196"/>
      <c r="AP926" s="196"/>
      <c r="AQ926" s="196"/>
      <c r="AR926" s="196"/>
      <c r="AS926" s="196"/>
    </row>
    <row r="927" spans="1:45" ht="15.75" customHeight="1">
      <c r="A927" s="196"/>
      <c r="B927" s="196"/>
      <c r="C927" s="88"/>
      <c r="D927" s="88"/>
      <c r="E927" s="88"/>
      <c r="F927" s="196"/>
      <c r="G927" s="196"/>
      <c r="H927" s="196"/>
      <c r="I927" s="196"/>
      <c r="J927" s="196"/>
      <c r="K927" s="196"/>
      <c r="L927" s="196"/>
      <c r="M927" s="196"/>
      <c r="N927" s="196"/>
      <c r="O927" s="196"/>
      <c r="P927" s="196"/>
      <c r="Q927" s="196"/>
      <c r="R927" s="196"/>
      <c r="S927" s="196"/>
      <c r="T927" s="196"/>
      <c r="U927" s="196"/>
      <c r="V927" s="196"/>
      <c r="W927" s="196"/>
      <c r="X927" s="196"/>
      <c r="Y927" s="196"/>
      <c r="Z927" s="196"/>
      <c r="AA927" s="196"/>
      <c r="AB927" s="196"/>
      <c r="AC927" s="196"/>
      <c r="AD927" s="196"/>
      <c r="AE927" s="196"/>
      <c r="AF927" s="196"/>
      <c r="AG927" s="196"/>
      <c r="AH927" s="196"/>
      <c r="AI927" s="196"/>
      <c r="AJ927" s="196"/>
      <c r="AK927" s="196"/>
      <c r="AL927" s="196"/>
      <c r="AM927" s="196"/>
      <c r="AN927" s="196"/>
      <c r="AO927" s="196"/>
      <c r="AP927" s="196"/>
      <c r="AQ927" s="196"/>
      <c r="AR927" s="196"/>
      <c r="AS927" s="196"/>
    </row>
    <row r="928" spans="1:45" ht="15.75" customHeight="1">
      <c r="A928" s="196"/>
      <c r="B928" s="196"/>
      <c r="C928" s="88"/>
      <c r="D928" s="88"/>
      <c r="E928" s="88"/>
      <c r="F928" s="196"/>
      <c r="G928" s="196"/>
      <c r="H928" s="196"/>
      <c r="I928" s="196"/>
      <c r="J928" s="196"/>
      <c r="K928" s="196"/>
      <c r="L928" s="196"/>
      <c r="M928" s="196"/>
      <c r="N928" s="196"/>
      <c r="O928" s="196"/>
      <c r="P928" s="196"/>
      <c r="Q928" s="196"/>
      <c r="R928" s="196"/>
      <c r="S928" s="196"/>
      <c r="T928" s="196"/>
      <c r="U928" s="196"/>
      <c r="V928" s="196"/>
      <c r="W928" s="196"/>
      <c r="X928" s="196"/>
      <c r="Y928" s="196"/>
      <c r="Z928" s="196"/>
      <c r="AA928" s="196"/>
      <c r="AB928" s="196"/>
      <c r="AC928" s="196"/>
      <c r="AD928" s="196"/>
      <c r="AE928" s="196"/>
      <c r="AF928" s="196"/>
      <c r="AG928" s="196"/>
      <c r="AH928" s="196"/>
      <c r="AI928" s="196"/>
      <c r="AJ928" s="196"/>
      <c r="AK928" s="196"/>
      <c r="AL928" s="196"/>
      <c r="AM928" s="196"/>
      <c r="AN928" s="196"/>
      <c r="AO928" s="196"/>
      <c r="AP928" s="196"/>
      <c r="AQ928" s="196"/>
      <c r="AR928" s="196"/>
      <c r="AS928" s="196"/>
    </row>
    <row r="929" spans="1:45" ht="15.75" customHeight="1">
      <c r="A929" s="196"/>
      <c r="B929" s="196"/>
      <c r="C929" s="88"/>
      <c r="D929" s="88"/>
      <c r="E929" s="88"/>
      <c r="F929" s="196"/>
      <c r="G929" s="196"/>
      <c r="H929" s="196"/>
      <c r="I929" s="196"/>
      <c r="J929" s="196"/>
      <c r="K929" s="196"/>
      <c r="L929" s="196"/>
      <c r="M929" s="196"/>
      <c r="N929" s="196"/>
      <c r="O929" s="196"/>
      <c r="P929" s="196"/>
      <c r="Q929" s="196"/>
      <c r="R929" s="196"/>
      <c r="S929" s="196"/>
      <c r="T929" s="196"/>
      <c r="U929" s="196"/>
      <c r="V929" s="196"/>
      <c r="W929" s="196"/>
      <c r="X929" s="196"/>
      <c r="Y929" s="196"/>
      <c r="Z929" s="196"/>
      <c r="AA929" s="196"/>
      <c r="AB929" s="196"/>
      <c r="AC929" s="196"/>
      <c r="AD929" s="196"/>
      <c r="AE929" s="196"/>
      <c r="AF929" s="196"/>
      <c r="AG929" s="196"/>
      <c r="AH929" s="196"/>
      <c r="AI929" s="196"/>
      <c r="AJ929" s="196"/>
      <c r="AK929" s="196"/>
      <c r="AL929" s="196"/>
      <c r="AM929" s="196"/>
      <c r="AN929" s="196"/>
      <c r="AO929" s="196"/>
      <c r="AP929" s="196"/>
      <c r="AQ929" s="196"/>
      <c r="AR929" s="196"/>
      <c r="AS929" s="196"/>
    </row>
    <row r="930" spans="1:45" ht="15.75" customHeight="1">
      <c r="A930" s="196"/>
      <c r="B930" s="196"/>
      <c r="C930" s="88"/>
      <c r="D930" s="88"/>
      <c r="E930" s="88"/>
      <c r="F930" s="196"/>
      <c r="G930" s="196"/>
      <c r="H930" s="196"/>
      <c r="I930" s="196"/>
      <c r="J930" s="196"/>
      <c r="K930" s="196"/>
      <c r="L930" s="196"/>
      <c r="M930" s="196"/>
      <c r="N930" s="196"/>
      <c r="O930" s="196"/>
      <c r="P930" s="196"/>
      <c r="Q930" s="196"/>
      <c r="R930" s="196"/>
      <c r="S930" s="196"/>
      <c r="T930" s="196"/>
      <c r="U930" s="196"/>
      <c r="V930" s="196"/>
      <c r="W930" s="196"/>
      <c r="X930" s="196"/>
      <c r="Y930" s="196"/>
      <c r="Z930" s="196"/>
      <c r="AA930" s="196"/>
      <c r="AB930" s="196"/>
      <c r="AC930" s="196"/>
      <c r="AD930" s="196"/>
      <c r="AE930" s="196"/>
      <c r="AF930" s="196"/>
      <c r="AG930" s="196"/>
      <c r="AH930" s="196"/>
      <c r="AI930" s="196"/>
      <c r="AJ930" s="196"/>
      <c r="AK930" s="196"/>
      <c r="AL930" s="196"/>
      <c r="AM930" s="196"/>
      <c r="AN930" s="196"/>
      <c r="AO930" s="196"/>
      <c r="AP930" s="196"/>
      <c r="AQ930" s="196"/>
      <c r="AR930" s="196"/>
      <c r="AS930" s="196"/>
    </row>
    <row r="931" spans="1:45" ht="15.75" customHeight="1">
      <c r="A931" s="196"/>
      <c r="B931" s="196"/>
      <c r="C931" s="88"/>
      <c r="D931" s="88"/>
      <c r="E931" s="88"/>
      <c r="F931" s="196"/>
      <c r="G931" s="196"/>
      <c r="H931" s="196"/>
      <c r="I931" s="196"/>
      <c r="J931" s="196"/>
      <c r="K931" s="196"/>
      <c r="L931" s="196"/>
      <c r="M931" s="196"/>
      <c r="N931" s="196"/>
      <c r="O931" s="196"/>
      <c r="P931" s="196"/>
      <c r="Q931" s="196"/>
      <c r="R931" s="196"/>
      <c r="S931" s="196"/>
      <c r="T931" s="196"/>
      <c r="U931" s="196"/>
      <c r="V931" s="196"/>
      <c r="W931" s="196"/>
      <c r="X931" s="196"/>
      <c r="Y931" s="196"/>
      <c r="Z931" s="196"/>
      <c r="AA931" s="196"/>
      <c r="AB931" s="196"/>
      <c r="AC931" s="196"/>
      <c r="AD931" s="196"/>
      <c r="AE931" s="196"/>
      <c r="AF931" s="196"/>
      <c r="AG931" s="196"/>
      <c r="AH931" s="196"/>
      <c r="AI931" s="196"/>
      <c r="AJ931" s="196"/>
      <c r="AK931" s="196"/>
      <c r="AL931" s="196"/>
      <c r="AM931" s="196"/>
      <c r="AN931" s="196"/>
      <c r="AO931" s="196"/>
      <c r="AP931" s="196"/>
      <c r="AQ931" s="196"/>
      <c r="AR931" s="196"/>
      <c r="AS931" s="196"/>
    </row>
    <row r="932" spans="1:45" ht="15.75" customHeight="1">
      <c r="A932" s="196"/>
      <c r="B932" s="196"/>
      <c r="C932" s="88"/>
      <c r="D932" s="88"/>
      <c r="E932" s="88"/>
      <c r="F932" s="196"/>
      <c r="G932" s="196"/>
      <c r="H932" s="196"/>
      <c r="I932" s="196"/>
      <c r="J932" s="196"/>
      <c r="K932" s="196"/>
      <c r="L932" s="196"/>
      <c r="M932" s="196"/>
      <c r="N932" s="196"/>
      <c r="O932" s="196"/>
      <c r="P932" s="196"/>
      <c r="Q932" s="196"/>
      <c r="R932" s="196"/>
      <c r="S932" s="196"/>
      <c r="T932" s="196"/>
      <c r="U932" s="196"/>
      <c r="V932" s="196"/>
      <c r="W932" s="196"/>
      <c r="X932" s="196"/>
      <c r="Y932" s="196"/>
      <c r="Z932" s="196"/>
      <c r="AA932" s="196"/>
      <c r="AB932" s="196"/>
      <c r="AC932" s="196"/>
      <c r="AD932" s="196"/>
      <c r="AE932" s="196"/>
      <c r="AF932" s="196"/>
      <c r="AG932" s="196"/>
      <c r="AH932" s="196"/>
      <c r="AI932" s="196"/>
      <c r="AJ932" s="196"/>
      <c r="AK932" s="196"/>
      <c r="AL932" s="196"/>
      <c r="AM932" s="196"/>
      <c r="AN932" s="196"/>
      <c r="AO932" s="196"/>
      <c r="AP932" s="196"/>
      <c r="AQ932" s="196"/>
      <c r="AR932" s="196"/>
      <c r="AS932" s="196"/>
    </row>
    <row r="933" spans="1:45" ht="15.75" customHeight="1">
      <c r="A933" s="196"/>
      <c r="B933" s="196"/>
      <c r="C933" s="88"/>
      <c r="D933" s="88"/>
      <c r="E933" s="88"/>
      <c r="F933" s="196"/>
      <c r="G933" s="196"/>
      <c r="H933" s="196"/>
      <c r="I933" s="196"/>
      <c r="J933" s="196"/>
      <c r="K933" s="196"/>
      <c r="L933" s="196"/>
      <c r="M933" s="196"/>
      <c r="N933" s="196"/>
      <c r="O933" s="196"/>
      <c r="P933" s="196"/>
      <c r="Q933" s="196"/>
      <c r="R933" s="196"/>
      <c r="S933" s="196"/>
      <c r="T933" s="196"/>
      <c r="U933" s="196"/>
      <c r="V933" s="196"/>
      <c r="W933" s="196"/>
      <c r="X933" s="196"/>
      <c r="Y933" s="196"/>
      <c r="Z933" s="196"/>
      <c r="AA933" s="196"/>
      <c r="AB933" s="196"/>
      <c r="AC933" s="196"/>
      <c r="AD933" s="196"/>
      <c r="AE933" s="196"/>
      <c r="AF933" s="196"/>
      <c r="AG933" s="196"/>
      <c r="AH933" s="196"/>
      <c r="AI933" s="196"/>
      <c r="AJ933" s="196"/>
      <c r="AK933" s="196"/>
      <c r="AL933" s="196"/>
      <c r="AM933" s="196"/>
      <c r="AN933" s="196"/>
      <c r="AO933" s="196"/>
      <c r="AP933" s="196"/>
      <c r="AQ933" s="196"/>
      <c r="AR933" s="196"/>
      <c r="AS933" s="196"/>
    </row>
    <row r="934" spans="1:45" ht="15.75" customHeight="1">
      <c r="A934" s="196"/>
      <c r="B934" s="196"/>
      <c r="C934" s="88"/>
      <c r="D934" s="88"/>
      <c r="E934" s="88"/>
      <c r="F934" s="196"/>
      <c r="G934" s="196"/>
      <c r="H934" s="196"/>
      <c r="I934" s="196"/>
      <c r="J934" s="196"/>
      <c r="K934" s="196"/>
      <c r="L934" s="196"/>
      <c r="M934" s="196"/>
      <c r="N934" s="196"/>
      <c r="O934" s="196"/>
      <c r="P934" s="196"/>
      <c r="Q934" s="196"/>
      <c r="R934" s="196"/>
      <c r="S934" s="196"/>
      <c r="T934" s="196"/>
      <c r="U934" s="196"/>
      <c r="V934" s="196"/>
      <c r="W934" s="196"/>
      <c r="X934" s="196"/>
      <c r="Y934" s="196"/>
      <c r="Z934" s="196"/>
      <c r="AA934" s="196"/>
      <c r="AB934" s="196"/>
      <c r="AC934" s="196"/>
      <c r="AD934" s="196"/>
      <c r="AE934" s="196"/>
      <c r="AF934" s="196"/>
      <c r="AG934" s="196"/>
      <c r="AH934" s="196"/>
      <c r="AI934" s="196"/>
      <c r="AJ934" s="196"/>
      <c r="AK934" s="196"/>
      <c r="AL934" s="196"/>
      <c r="AM934" s="196"/>
      <c r="AN934" s="196"/>
      <c r="AO934" s="196"/>
      <c r="AP934" s="196"/>
      <c r="AQ934" s="196"/>
      <c r="AR934" s="196"/>
      <c r="AS934" s="196"/>
    </row>
    <row r="935" spans="1:45" ht="15.75" customHeight="1">
      <c r="A935" s="196"/>
      <c r="B935" s="196"/>
      <c r="C935" s="88"/>
      <c r="D935" s="88"/>
      <c r="E935" s="88"/>
      <c r="F935" s="196"/>
      <c r="G935" s="196"/>
      <c r="H935" s="196"/>
      <c r="I935" s="196"/>
      <c r="J935" s="196"/>
      <c r="K935" s="196"/>
      <c r="L935" s="196"/>
      <c r="M935" s="196"/>
      <c r="N935" s="196"/>
      <c r="O935" s="196"/>
      <c r="P935" s="196"/>
      <c r="Q935" s="196"/>
      <c r="R935" s="196"/>
      <c r="S935" s="196"/>
      <c r="T935" s="196"/>
      <c r="U935" s="196"/>
      <c r="V935" s="196"/>
      <c r="W935" s="196"/>
      <c r="X935" s="196"/>
      <c r="Y935" s="196"/>
      <c r="Z935" s="196"/>
      <c r="AA935" s="196"/>
      <c r="AB935" s="196"/>
      <c r="AC935" s="196"/>
      <c r="AD935" s="196"/>
      <c r="AE935" s="196"/>
      <c r="AF935" s="196"/>
      <c r="AG935" s="196"/>
      <c r="AH935" s="196"/>
      <c r="AI935" s="196"/>
      <c r="AJ935" s="196"/>
      <c r="AK935" s="196"/>
      <c r="AL935" s="196"/>
      <c r="AM935" s="196"/>
      <c r="AN935" s="196"/>
      <c r="AO935" s="196"/>
      <c r="AP935" s="196"/>
      <c r="AQ935" s="196"/>
      <c r="AR935" s="196"/>
      <c r="AS935" s="196"/>
    </row>
    <row r="936" spans="1:45" ht="15.75" customHeight="1">
      <c r="A936" s="196"/>
      <c r="B936" s="196"/>
      <c r="C936" s="88"/>
      <c r="D936" s="88"/>
      <c r="E936" s="88"/>
      <c r="F936" s="196"/>
      <c r="G936" s="196"/>
      <c r="H936" s="196"/>
      <c r="I936" s="196"/>
      <c r="J936" s="196"/>
      <c r="K936" s="196"/>
      <c r="L936" s="196"/>
      <c r="M936" s="196"/>
      <c r="N936" s="196"/>
      <c r="O936" s="196"/>
      <c r="P936" s="196"/>
      <c r="Q936" s="196"/>
      <c r="R936" s="196"/>
      <c r="S936" s="196"/>
      <c r="T936" s="196"/>
      <c r="U936" s="196"/>
      <c r="V936" s="196"/>
      <c r="W936" s="196"/>
      <c r="X936" s="196"/>
      <c r="Y936" s="196"/>
      <c r="Z936" s="196"/>
      <c r="AA936" s="196"/>
      <c r="AB936" s="196"/>
      <c r="AC936" s="196"/>
      <c r="AD936" s="196"/>
      <c r="AE936" s="196"/>
      <c r="AF936" s="196"/>
      <c r="AG936" s="196"/>
      <c r="AH936" s="196"/>
      <c r="AI936" s="196"/>
      <c r="AJ936" s="196"/>
      <c r="AK936" s="196"/>
      <c r="AL936" s="196"/>
      <c r="AM936" s="196"/>
      <c r="AN936" s="196"/>
      <c r="AO936" s="196"/>
      <c r="AP936" s="196"/>
      <c r="AQ936" s="196"/>
      <c r="AR936" s="196"/>
      <c r="AS936" s="196"/>
    </row>
    <row r="937" spans="1:45" ht="15.75" customHeight="1">
      <c r="A937" s="196"/>
      <c r="B937" s="196"/>
      <c r="C937" s="88"/>
      <c r="D937" s="88"/>
      <c r="E937" s="88"/>
      <c r="F937" s="196"/>
      <c r="G937" s="196"/>
      <c r="H937" s="196"/>
      <c r="I937" s="196"/>
      <c r="J937" s="196"/>
      <c r="K937" s="196"/>
      <c r="L937" s="196"/>
      <c r="M937" s="196"/>
      <c r="N937" s="196"/>
      <c r="O937" s="196"/>
      <c r="P937" s="196"/>
      <c r="Q937" s="196"/>
      <c r="R937" s="196"/>
      <c r="S937" s="196"/>
      <c r="T937" s="196"/>
      <c r="U937" s="196"/>
      <c r="V937" s="196"/>
      <c r="W937" s="196"/>
      <c r="X937" s="196"/>
      <c r="Y937" s="196"/>
      <c r="Z937" s="196"/>
      <c r="AA937" s="196"/>
      <c r="AB937" s="196"/>
      <c r="AC937" s="196"/>
      <c r="AD937" s="196"/>
      <c r="AE937" s="196"/>
      <c r="AF937" s="196"/>
      <c r="AG937" s="196"/>
      <c r="AH937" s="196"/>
      <c r="AI937" s="196"/>
      <c r="AJ937" s="196"/>
      <c r="AK937" s="196"/>
      <c r="AL937" s="196"/>
      <c r="AM937" s="196"/>
      <c r="AN937" s="196"/>
      <c r="AO937" s="196"/>
      <c r="AP937" s="196"/>
      <c r="AQ937" s="196"/>
      <c r="AR937" s="196"/>
      <c r="AS937" s="196"/>
    </row>
    <row r="938" spans="1:45" ht="15.75" customHeight="1">
      <c r="A938" s="196"/>
      <c r="B938" s="196"/>
      <c r="C938" s="88"/>
      <c r="D938" s="88"/>
      <c r="E938" s="88"/>
      <c r="F938" s="196"/>
      <c r="G938" s="196"/>
      <c r="H938" s="196"/>
      <c r="I938" s="196"/>
      <c r="J938" s="196"/>
      <c r="K938" s="196"/>
      <c r="L938" s="196"/>
      <c r="M938" s="196"/>
      <c r="N938" s="196"/>
      <c r="O938" s="196"/>
      <c r="P938" s="196"/>
      <c r="Q938" s="196"/>
      <c r="R938" s="196"/>
      <c r="S938" s="196"/>
      <c r="T938" s="196"/>
      <c r="U938" s="196"/>
      <c r="V938" s="196"/>
      <c r="W938" s="196"/>
      <c r="X938" s="196"/>
      <c r="Y938" s="196"/>
      <c r="Z938" s="196"/>
      <c r="AA938" s="196"/>
      <c r="AB938" s="196"/>
      <c r="AC938" s="196"/>
      <c r="AD938" s="196"/>
      <c r="AE938" s="196"/>
      <c r="AF938" s="196"/>
      <c r="AG938" s="196"/>
      <c r="AH938" s="196"/>
      <c r="AI938" s="196"/>
      <c r="AJ938" s="196"/>
      <c r="AK938" s="196"/>
      <c r="AL938" s="196"/>
      <c r="AM938" s="196"/>
      <c r="AN938" s="196"/>
      <c r="AO938" s="196"/>
      <c r="AP938" s="196"/>
      <c r="AQ938" s="196"/>
      <c r="AR938" s="196"/>
      <c r="AS938" s="196"/>
    </row>
    <row r="939" spans="1:45" ht="15.75" customHeight="1">
      <c r="A939" s="196"/>
      <c r="B939" s="196"/>
      <c r="C939" s="88"/>
      <c r="D939" s="88"/>
      <c r="E939" s="88"/>
      <c r="F939" s="196"/>
      <c r="G939" s="196"/>
      <c r="H939" s="196"/>
      <c r="I939" s="196"/>
      <c r="J939" s="196"/>
      <c r="K939" s="196"/>
      <c r="L939" s="196"/>
      <c r="M939" s="196"/>
      <c r="N939" s="196"/>
      <c r="O939" s="196"/>
      <c r="P939" s="196"/>
      <c r="Q939" s="196"/>
      <c r="R939" s="196"/>
      <c r="S939" s="196"/>
      <c r="T939" s="196"/>
      <c r="U939" s="196"/>
      <c r="V939" s="196"/>
      <c r="W939" s="196"/>
      <c r="X939" s="196"/>
      <c r="Y939" s="196"/>
      <c r="Z939" s="196"/>
      <c r="AA939" s="196"/>
      <c r="AB939" s="196"/>
      <c r="AC939" s="196"/>
      <c r="AD939" s="196"/>
      <c r="AE939" s="196"/>
      <c r="AF939" s="196"/>
      <c r="AG939" s="196"/>
      <c r="AH939" s="196"/>
      <c r="AI939" s="196"/>
      <c r="AJ939" s="196"/>
      <c r="AK939" s="196"/>
      <c r="AL939" s="196"/>
      <c r="AM939" s="196"/>
      <c r="AN939" s="196"/>
      <c r="AO939" s="196"/>
      <c r="AP939" s="196"/>
      <c r="AQ939" s="196"/>
      <c r="AR939" s="196"/>
      <c r="AS939" s="196"/>
    </row>
    <row r="940" spans="1:45" ht="15.75" customHeight="1">
      <c r="A940" s="196"/>
      <c r="B940" s="196"/>
      <c r="C940" s="88"/>
      <c r="D940" s="88"/>
      <c r="E940" s="88"/>
      <c r="F940" s="196"/>
      <c r="G940" s="196"/>
      <c r="H940" s="196"/>
      <c r="I940" s="196"/>
      <c r="J940" s="196"/>
      <c r="K940" s="196"/>
      <c r="L940" s="196"/>
      <c r="M940" s="196"/>
      <c r="N940" s="196"/>
      <c r="O940" s="196"/>
      <c r="P940" s="196"/>
      <c r="Q940" s="196"/>
      <c r="R940" s="196"/>
      <c r="S940" s="196"/>
      <c r="T940" s="196"/>
      <c r="U940" s="196"/>
      <c r="V940" s="196"/>
      <c r="W940" s="196"/>
      <c r="X940" s="196"/>
      <c r="Y940" s="196"/>
      <c r="Z940" s="196"/>
      <c r="AA940" s="196"/>
      <c r="AB940" s="196"/>
      <c r="AC940" s="196"/>
      <c r="AD940" s="196"/>
      <c r="AE940" s="196"/>
      <c r="AF940" s="196"/>
      <c r="AG940" s="196"/>
      <c r="AH940" s="196"/>
      <c r="AI940" s="196"/>
      <c r="AJ940" s="196"/>
      <c r="AK940" s="196"/>
      <c r="AL940" s="196"/>
      <c r="AM940" s="196"/>
      <c r="AN940" s="196"/>
      <c r="AO940" s="196"/>
      <c r="AP940" s="196"/>
      <c r="AQ940" s="196"/>
      <c r="AR940" s="196"/>
      <c r="AS940" s="196"/>
    </row>
    <row r="941" spans="1:45" ht="15.75" customHeight="1">
      <c r="A941" s="196"/>
      <c r="B941" s="196"/>
      <c r="C941" s="88"/>
      <c r="D941" s="88"/>
      <c r="E941" s="88"/>
      <c r="F941" s="196"/>
      <c r="G941" s="196"/>
      <c r="H941" s="196"/>
      <c r="I941" s="196"/>
      <c r="J941" s="196"/>
      <c r="K941" s="196"/>
      <c r="L941" s="196"/>
      <c r="M941" s="196"/>
      <c r="N941" s="196"/>
      <c r="O941" s="196"/>
      <c r="P941" s="196"/>
      <c r="Q941" s="196"/>
      <c r="R941" s="196"/>
      <c r="S941" s="196"/>
      <c r="T941" s="196"/>
      <c r="U941" s="196"/>
      <c r="V941" s="196"/>
      <c r="W941" s="196"/>
      <c r="X941" s="196"/>
      <c r="Y941" s="196"/>
      <c r="Z941" s="196"/>
      <c r="AA941" s="196"/>
      <c r="AB941" s="196"/>
      <c r="AC941" s="196"/>
      <c r="AD941" s="196"/>
      <c r="AE941" s="196"/>
      <c r="AF941" s="196"/>
      <c r="AG941" s="196"/>
      <c r="AH941" s="196"/>
      <c r="AI941" s="196"/>
      <c r="AJ941" s="196"/>
      <c r="AK941" s="196"/>
      <c r="AL941" s="196"/>
      <c r="AM941" s="196"/>
      <c r="AN941" s="196"/>
      <c r="AO941" s="196"/>
      <c r="AP941" s="196"/>
      <c r="AQ941" s="196"/>
      <c r="AR941" s="196"/>
      <c r="AS941" s="196"/>
    </row>
    <row r="942" spans="1:45" ht="15.75" customHeight="1">
      <c r="A942" s="196"/>
      <c r="B942" s="196"/>
      <c r="C942" s="88"/>
      <c r="D942" s="88"/>
      <c r="E942" s="88"/>
      <c r="F942" s="196"/>
      <c r="G942" s="196"/>
      <c r="H942" s="196"/>
      <c r="I942" s="196"/>
      <c r="J942" s="196"/>
      <c r="K942" s="196"/>
      <c r="L942" s="196"/>
      <c r="M942" s="196"/>
      <c r="N942" s="196"/>
      <c r="O942" s="196"/>
      <c r="P942" s="196"/>
      <c r="Q942" s="196"/>
      <c r="R942" s="196"/>
      <c r="S942" s="196"/>
      <c r="T942" s="196"/>
      <c r="U942" s="196"/>
      <c r="V942" s="196"/>
      <c r="W942" s="196"/>
      <c r="X942" s="196"/>
      <c r="Y942" s="196"/>
      <c r="Z942" s="196"/>
      <c r="AA942" s="196"/>
      <c r="AB942" s="196"/>
      <c r="AC942" s="196"/>
      <c r="AD942" s="196"/>
      <c r="AE942" s="196"/>
      <c r="AF942" s="196"/>
      <c r="AG942" s="196"/>
      <c r="AH942" s="196"/>
      <c r="AI942" s="196"/>
      <c r="AJ942" s="196"/>
      <c r="AK942" s="196"/>
      <c r="AL942" s="196"/>
      <c r="AM942" s="196"/>
      <c r="AN942" s="196"/>
      <c r="AO942" s="196"/>
      <c r="AP942" s="196"/>
      <c r="AQ942" s="196"/>
      <c r="AR942" s="196"/>
      <c r="AS942" s="196"/>
    </row>
    <row r="943" spans="1:45" ht="15.75" customHeight="1">
      <c r="A943" s="196"/>
      <c r="B943" s="196"/>
      <c r="C943" s="88"/>
      <c r="D943" s="88"/>
      <c r="E943" s="88"/>
      <c r="F943" s="196"/>
      <c r="G943" s="196"/>
      <c r="H943" s="196"/>
      <c r="I943" s="196"/>
      <c r="J943" s="196"/>
      <c r="K943" s="196"/>
      <c r="L943" s="196"/>
      <c r="M943" s="196"/>
      <c r="N943" s="196"/>
      <c r="O943" s="196"/>
      <c r="P943" s="196"/>
      <c r="Q943" s="196"/>
      <c r="R943" s="196"/>
      <c r="S943" s="196"/>
      <c r="T943" s="196"/>
      <c r="U943" s="196"/>
      <c r="V943" s="196"/>
      <c r="W943" s="196"/>
      <c r="X943" s="196"/>
      <c r="Y943" s="196"/>
      <c r="Z943" s="196"/>
      <c r="AA943" s="196"/>
      <c r="AB943" s="196"/>
      <c r="AC943" s="196"/>
      <c r="AD943" s="196"/>
      <c r="AE943" s="196"/>
      <c r="AF943" s="196"/>
      <c r="AG943" s="196"/>
      <c r="AH943" s="196"/>
      <c r="AI943" s="196"/>
      <c r="AJ943" s="196"/>
      <c r="AK943" s="196"/>
      <c r="AL943" s="196"/>
      <c r="AM943" s="196"/>
      <c r="AN943" s="196"/>
      <c r="AO943" s="196"/>
      <c r="AP943" s="196"/>
      <c r="AQ943" s="196"/>
      <c r="AR943" s="196"/>
      <c r="AS943" s="196"/>
    </row>
    <row r="944" spans="1:45" ht="15.75" customHeight="1">
      <c r="A944" s="196"/>
      <c r="B944" s="196"/>
      <c r="C944" s="88"/>
      <c r="D944" s="88"/>
      <c r="E944" s="88"/>
      <c r="F944" s="196"/>
      <c r="G944" s="196"/>
      <c r="H944" s="196"/>
      <c r="I944" s="196"/>
      <c r="J944" s="196"/>
      <c r="K944" s="196"/>
      <c r="L944" s="196"/>
      <c r="M944" s="196"/>
      <c r="N944" s="196"/>
      <c r="O944" s="196"/>
      <c r="P944" s="196"/>
      <c r="Q944" s="196"/>
      <c r="R944" s="196"/>
      <c r="S944" s="196"/>
      <c r="T944" s="196"/>
      <c r="U944" s="196"/>
      <c r="V944" s="196"/>
      <c r="W944" s="196"/>
      <c r="X944" s="196"/>
      <c r="Y944" s="196"/>
      <c r="Z944" s="196"/>
      <c r="AA944" s="196"/>
      <c r="AB944" s="196"/>
      <c r="AC944" s="196"/>
      <c r="AD944" s="196"/>
      <c r="AE944" s="196"/>
      <c r="AF944" s="196"/>
      <c r="AG944" s="196"/>
      <c r="AH944" s="196"/>
      <c r="AI944" s="196"/>
      <c r="AJ944" s="196"/>
      <c r="AK944" s="196"/>
      <c r="AL944" s="196"/>
      <c r="AM944" s="196"/>
      <c r="AN944" s="196"/>
      <c r="AO944" s="196"/>
      <c r="AP944" s="196"/>
      <c r="AQ944" s="196"/>
      <c r="AR944" s="196"/>
      <c r="AS944" s="196"/>
    </row>
    <row r="945" spans="1:45" ht="15.75" customHeight="1">
      <c r="A945" s="196"/>
      <c r="B945" s="196"/>
      <c r="C945" s="88"/>
      <c r="D945" s="88"/>
      <c r="E945" s="88"/>
      <c r="F945" s="196"/>
      <c r="G945" s="196"/>
      <c r="H945" s="196"/>
      <c r="I945" s="196"/>
      <c r="J945" s="196"/>
      <c r="K945" s="196"/>
      <c r="L945" s="196"/>
      <c r="M945" s="196"/>
      <c r="N945" s="196"/>
      <c r="O945" s="196"/>
      <c r="P945" s="196"/>
      <c r="Q945" s="196"/>
      <c r="R945" s="196"/>
      <c r="S945" s="196"/>
      <c r="T945" s="196"/>
      <c r="U945" s="196"/>
      <c r="V945" s="196"/>
      <c r="W945" s="196"/>
      <c r="X945" s="196"/>
      <c r="Y945" s="196"/>
      <c r="Z945" s="196"/>
      <c r="AA945" s="196"/>
      <c r="AB945" s="196"/>
      <c r="AC945" s="196"/>
      <c r="AD945" s="196"/>
      <c r="AE945" s="196"/>
      <c r="AF945" s="196"/>
      <c r="AG945" s="196"/>
      <c r="AH945" s="196"/>
      <c r="AI945" s="196"/>
      <c r="AJ945" s="196"/>
      <c r="AK945" s="196"/>
      <c r="AL945" s="196"/>
      <c r="AM945" s="196"/>
      <c r="AN945" s="196"/>
      <c r="AO945" s="196"/>
      <c r="AP945" s="196"/>
      <c r="AQ945" s="196"/>
      <c r="AR945" s="196"/>
      <c r="AS945" s="196"/>
    </row>
    <row r="946" spans="1:45" ht="15.75" customHeight="1">
      <c r="A946" s="196"/>
      <c r="B946" s="196"/>
      <c r="C946" s="88"/>
      <c r="D946" s="88"/>
      <c r="E946" s="88"/>
      <c r="F946" s="196"/>
      <c r="G946" s="196"/>
      <c r="H946" s="196"/>
      <c r="I946" s="196"/>
      <c r="J946" s="196"/>
      <c r="K946" s="196"/>
      <c r="L946" s="196"/>
      <c r="M946" s="196"/>
      <c r="N946" s="196"/>
      <c r="O946" s="196"/>
      <c r="P946" s="196"/>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c r="AQ946" s="196"/>
      <c r="AR946" s="196"/>
      <c r="AS946" s="196"/>
    </row>
    <row r="947" spans="1:45" ht="15.75" customHeight="1">
      <c r="A947" s="196"/>
      <c r="B947" s="196"/>
      <c r="C947" s="88"/>
      <c r="D947" s="88"/>
      <c r="E947" s="88"/>
      <c r="F947" s="196"/>
      <c r="G947" s="196"/>
      <c r="H947" s="196"/>
      <c r="I947" s="196"/>
      <c r="J947" s="196"/>
      <c r="K947" s="196"/>
      <c r="L947" s="196"/>
      <c r="M947" s="196"/>
      <c r="N947" s="196"/>
      <c r="O947" s="196"/>
      <c r="P947" s="196"/>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c r="AQ947" s="196"/>
      <c r="AR947" s="196"/>
      <c r="AS947" s="196"/>
    </row>
    <row r="948" spans="1:45" ht="15.75" customHeight="1">
      <c r="A948" s="196"/>
      <c r="B948" s="196"/>
      <c r="C948" s="88"/>
      <c r="D948" s="88"/>
      <c r="E948" s="88"/>
      <c r="F948" s="196"/>
      <c r="G948" s="196"/>
      <c r="H948" s="196"/>
      <c r="I948" s="196"/>
      <c r="J948" s="196"/>
      <c r="K948" s="196"/>
      <c r="L948" s="196"/>
      <c r="M948" s="196"/>
      <c r="N948" s="196"/>
      <c r="O948" s="196"/>
      <c r="P948" s="196"/>
      <c r="Q948" s="196"/>
      <c r="R948" s="196"/>
      <c r="S948" s="196"/>
      <c r="T948" s="196"/>
      <c r="U948" s="196"/>
      <c r="V948" s="196"/>
      <c r="W948" s="196"/>
      <c r="X948" s="196"/>
      <c r="Y948" s="196"/>
      <c r="Z948" s="196"/>
      <c r="AA948" s="196"/>
      <c r="AB948" s="196"/>
      <c r="AC948" s="196"/>
      <c r="AD948" s="196"/>
      <c r="AE948" s="196"/>
      <c r="AF948" s="196"/>
      <c r="AG948" s="196"/>
      <c r="AH948" s="196"/>
      <c r="AI948" s="196"/>
      <c r="AJ948" s="196"/>
      <c r="AK948" s="196"/>
      <c r="AL948" s="196"/>
      <c r="AM948" s="196"/>
      <c r="AN948" s="196"/>
      <c r="AO948" s="196"/>
      <c r="AP948" s="196"/>
      <c r="AQ948" s="196"/>
      <c r="AR948" s="196"/>
      <c r="AS948" s="196"/>
    </row>
    <row r="949" spans="1:45" ht="15.75" customHeight="1">
      <c r="A949" s="196"/>
      <c r="B949" s="196"/>
      <c r="C949" s="88"/>
      <c r="D949" s="88"/>
      <c r="E949" s="88"/>
      <c r="F949" s="196"/>
      <c r="G949" s="196"/>
      <c r="H949" s="196"/>
      <c r="I949" s="196"/>
      <c r="J949" s="196"/>
      <c r="K949" s="196"/>
      <c r="L949" s="196"/>
      <c r="M949" s="196"/>
      <c r="N949" s="196"/>
      <c r="O949" s="196"/>
      <c r="P949" s="196"/>
      <c r="Q949" s="196"/>
      <c r="R949" s="196"/>
      <c r="S949" s="196"/>
      <c r="T949" s="196"/>
      <c r="U949" s="196"/>
      <c r="V949" s="196"/>
      <c r="W949" s="196"/>
      <c r="X949" s="196"/>
      <c r="Y949" s="196"/>
      <c r="Z949" s="196"/>
      <c r="AA949" s="196"/>
      <c r="AB949" s="196"/>
      <c r="AC949" s="196"/>
      <c r="AD949" s="196"/>
      <c r="AE949" s="196"/>
      <c r="AF949" s="196"/>
      <c r="AG949" s="196"/>
      <c r="AH949" s="196"/>
      <c r="AI949" s="196"/>
      <c r="AJ949" s="196"/>
      <c r="AK949" s="196"/>
      <c r="AL949" s="196"/>
      <c r="AM949" s="196"/>
      <c r="AN949" s="196"/>
      <c r="AO949" s="196"/>
      <c r="AP949" s="196"/>
      <c r="AQ949" s="196"/>
      <c r="AR949" s="196"/>
      <c r="AS949" s="196"/>
    </row>
    <row r="950" spans="1:45" ht="15.75" customHeight="1">
      <c r="A950" s="196"/>
      <c r="B950" s="196"/>
      <c r="C950" s="88"/>
      <c r="D950" s="88"/>
      <c r="E950" s="88"/>
      <c r="F950" s="196"/>
      <c r="G950" s="196"/>
      <c r="H950" s="196"/>
      <c r="I950" s="196"/>
      <c r="J950" s="196"/>
      <c r="K950" s="196"/>
      <c r="L950" s="196"/>
      <c r="M950" s="196"/>
      <c r="N950" s="196"/>
      <c r="O950" s="196"/>
      <c r="P950" s="196"/>
      <c r="Q950" s="196"/>
      <c r="R950" s="196"/>
      <c r="S950" s="196"/>
      <c r="T950" s="196"/>
      <c r="U950" s="196"/>
      <c r="V950" s="196"/>
      <c r="W950" s="196"/>
      <c r="X950" s="196"/>
      <c r="Y950" s="196"/>
      <c r="Z950" s="196"/>
      <c r="AA950" s="196"/>
      <c r="AB950" s="196"/>
      <c r="AC950" s="196"/>
      <c r="AD950" s="196"/>
      <c r="AE950" s="196"/>
      <c r="AF950" s="196"/>
      <c r="AG950" s="196"/>
      <c r="AH950" s="196"/>
      <c r="AI950" s="196"/>
      <c r="AJ950" s="196"/>
      <c r="AK950" s="196"/>
      <c r="AL950" s="196"/>
      <c r="AM950" s="196"/>
      <c r="AN950" s="196"/>
      <c r="AO950" s="196"/>
      <c r="AP950" s="196"/>
      <c r="AQ950" s="196"/>
      <c r="AR950" s="196"/>
      <c r="AS950" s="196"/>
    </row>
    <row r="951" spans="1:45" ht="15.75" customHeight="1">
      <c r="A951" s="196"/>
      <c r="B951" s="196"/>
      <c r="C951" s="88"/>
      <c r="D951" s="88"/>
      <c r="E951" s="88"/>
      <c r="F951" s="196"/>
      <c r="G951" s="196"/>
      <c r="H951" s="196"/>
      <c r="I951" s="196"/>
      <c r="J951" s="196"/>
      <c r="K951" s="196"/>
      <c r="L951" s="196"/>
      <c r="M951" s="196"/>
      <c r="N951" s="196"/>
      <c r="O951" s="196"/>
      <c r="P951" s="196"/>
      <c r="Q951" s="196"/>
      <c r="R951" s="196"/>
      <c r="S951" s="196"/>
      <c r="T951" s="196"/>
      <c r="U951" s="196"/>
      <c r="V951" s="196"/>
      <c r="W951" s="196"/>
      <c r="X951" s="196"/>
      <c r="Y951" s="196"/>
      <c r="Z951" s="196"/>
      <c r="AA951" s="196"/>
      <c r="AB951" s="196"/>
      <c r="AC951" s="196"/>
      <c r="AD951" s="196"/>
      <c r="AE951" s="196"/>
      <c r="AF951" s="196"/>
      <c r="AG951" s="196"/>
      <c r="AH951" s="196"/>
      <c r="AI951" s="196"/>
      <c r="AJ951" s="196"/>
      <c r="AK951" s="196"/>
      <c r="AL951" s="196"/>
      <c r="AM951" s="196"/>
      <c r="AN951" s="196"/>
      <c r="AO951" s="196"/>
      <c r="AP951" s="196"/>
      <c r="AQ951" s="196"/>
      <c r="AR951" s="196"/>
      <c r="AS951" s="196"/>
    </row>
    <row r="952" spans="1:45" ht="15.75" customHeight="1">
      <c r="A952" s="196"/>
      <c r="B952" s="196"/>
      <c r="C952" s="88"/>
      <c r="D952" s="88"/>
      <c r="E952" s="88"/>
      <c r="F952" s="196"/>
      <c r="G952" s="196"/>
      <c r="H952" s="196"/>
      <c r="I952" s="196"/>
      <c r="J952" s="196"/>
      <c r="K952" s="196"/>
      <c r="L952" s="196"/>
      <c r="M952" s="196"/>
      <c r="N952" s="196"/>
      <c r="O952" s="196"/>
      <c r="P952" s="196"/>
      <c r="Q952" s="196"/>
      <c r="R952" s="196"/>
      <c r="S952" s="196"/>
      <c r="T952" s="196"/>
      <c r="U952" s="196"/>
      <c r="V952" s="196"/>
      <c r="W952" s="196"/>
      <c r="X952" s="196"/>
      <c r="Y952" s="196"/>
      <c r="Z952" s="196"/>
      <c r="AA952" s="196"/>
      <c r="AB952" s="196"/>
      <c r="AC952" s="196"/>
      <c r="AD952" s="196"/>
      <c r="AE952" s="196"/>
      <c r="AF952" s="196"/>
      <c r="AG952" s="196"/>
      <c r="AH952" s="196"/>
      <c r="AI952" s="196"/>
      <c r="AJ952" s="196"/>
      <c r="AK952" s="196"/>
      <c r="AL952" s="196"/>
      <c r="AM952" s="196"/>
      <c r="AN952" s="196"/>
      <c r="AO952" s="196"/>
      <c r="AP952" s="196"/>
      <c r="AQ952" s="196"/>
      <c r="AR952" s="196"/>
      <c r="AS952" s="196"/>
    </row>
    <row r="953" spans="1:45" ht="15.75" customHeight="1">
      <c r="A953" s="196"/>
      <c r="B953" s="196"/>
      <c r="C953" s="88"/>
      <c r="D953" s="88"/>
      <c r="E953" s="88"/>
      <c r="F953" s="196"/>
      <c r="G953" s="196"/>
      <c r="H953" s="196"/>
      <c r="I953" s="196"/>
      <c r="J953" s="196"/>
      <c r="K953" s="196"/>
      <c r="L953" s="196"/>
      <c r="M953" s="196"/>
      <c r="N953" s="196"/>
      <c r="O953" s="196"/>
      <c r="P953" s="196"/>
      <c r="Q953" s="196"/>
      <c r="R953" s="196"/>
      <c r="S953" s="196"/>
      <c r="T953" s="196"/>
      <c r="U953" s="196"/>
      <c r="V953" s="196"/>
      <c r="W953" s="196"/>
      <c r="X953" s="196"/>
      <c r="Y953" s="196"/>
      <c r="Z953" s="196"/>
      <c r="AA953" s="196"/>
      <c r="AB953" s="196"/>
      <c r="AC953" s="196"/>
      <c r="AD953" s="196"/>
      <c r="AE953" s="196"/>
      <c r="AF953" s="196"/>
      <c r="AG953" s="196"/>
      <c r="AH953" s="196"/>
      <c r="AI953" s="196"/>
      <c r="AJ953" s="196"/>
      <c r="AK953" s="196"/>
      <c r="AL953" s="196"/>
      <c r="AM953" s="196"/>
      <c r="AN953" s="196"/>
      <c r="AO953" s="196"/>
      <c r="AP953" s="196"/>
      <c r="AQ953" s="196"/>
      <c r="AR953" s="196"/>
      <c r="AS953" s="196"/>
    </row>
    <row r="954" spans="1:45" ht="15.75" customHeight="1">
      <c r="A954" s="196"/>
      <c r="B954" s="196"/>
      <c r="C954" s="88"/>
      <c r="D954" s="88"/>
      <c r="E954" s="88"/>
      <c r="F954" s="196"/>
      <c r="G954" s="196"/>
      <c r="H954" s="196"/>
      <c r="I954" s="196"/>
      <c r="J954" s="196"/>
      <c r="K954" s="196"/>
      <c r="L954" s="196"/>
      <c r="M954" s="196"/>
      <c r="N954" s="196"/>
      <c r="O954" s="196"/>
      <c r="P954" s="196"/>
      <c r="Q954" s="196"/>
      <c r="R954" s="196"/>
      <c r="S954" s="196"/>
      <c r="T954" s="196"/>
      <c r="U954" s="196"/>
      <c r="V954" s="196"/>
      <c r="W954" s="196"/>
      <c r="X954" s="196"/>
      <c r="Y954" s="196"/>
      <c r="Z954" s="196"/>
      <c r="AA954" s="196"/>
      <c r="AB954" s="196"/>
      <c r="AC954" s="196"/>
      <c r="AD954" s="196"/>
      <c r="AE954" s="196"/>
      <c r="AF954" s="196"/>
      <c r="AG954" s="196"/>
      <c r="AH954" s="196"/>
      <c r="AI954" s="196"/>
      <c r="AJ954" s="196"/>
      <c r="AK954" s="196"/>
      <c r="AL954" s="196"/>
      <c r="AM954" s="196"/>
      <c r="AN954" s="196"/>
      <c r="AO954" s="196"/>
      <c r="AP954" s="196"/>
      <c r="AQ954" s="196"/>
      <c r="AR954" s="196"/>
      <c r="AS954" s="196"/>
    </row>
    <row r="955" spans="1:45" ht="15.75" customHeight="1">
      <c r="A955" s="196"/>
      <c r="B955" s="196"/>
      <c r="C955" s="88"/>
      <c r="D955" s="88"/>
      <c r="E955" s="88"/>
      <c r="F955" s="196"/>
      <c r="G955" s="196"/>
      <c r="H955" s="196"/>
      <c r="I955" s="196"/>
      <c r="J955" s="196"/>
      <c r="K955" s="196"/>
      <c r="L955" s="196"/>
      <c r="M955" s="196"/>
      <c r="N955" s="196"/>
      <c r="O955" s="196"/>
      <c r="P955" s="196"/>
      <c r="Q955" s="196"/>
      <c r="R955" s="196"/>
      <c r="S955" s="196"/>
      <c r="T955" s="196"/>
      <c r="U955" s="196"/>
      <c r="V955" s="196"/>
      <c r="W955" s="196"/>
      <c r="X955" s="196"/>
      <c r="Y955" s="196"/>
      <c r="Z955" s="196"/>
      <c r="AA955" s="196"/>
      <c r="AB955" s="196"/>
      <c r="AC955" s="196"/>
      <c r="AD955" s="196"/>
      <c r="AE955" s="196"/>
      <c r="AF955" s="196"/>
      <c r="AG955" s="196"/>
      <c r="AH955" s="196"/>
      <c r="AI955" s="196"/>
      <c r="AJ955" s="196"/>
      <c r="AK955" s="196"/>
      <c r="AL955" s="196"/>
      <c r="AM955" s="196"/>
      <c r="AN955" s="196"/>
      <c r="AO955" s="196"/>
      <c r="AP955" s="196"/>
      <c r="AQ955" s="196"/>
      <c r="AR955" s="196"/>
      <c r="AS955" s="196"/>
    </row>
    <row r="956" spans="1:45" ht="15.75" customHeight="1">
      <c r="A956" s="196"/>
      <c r="B956" s="196"/>
      <c r="C956" s="88"/>
      <c r="D956" s="88"/>
      <c r="E956" s="88"/>
      <c r="F956" s="196"/>
      <c r="G956" s="196"/>
      <c r="H956" s="196"/>
      <c r="I956" s="196"/>
      <c r="J956" s="196"/>
      <c r="K956" s="196"/>
      <c r="L956" s="196"/>
      <c r="M956" s="196"/>
      <c r="N956" s="196"/>
      <c r="O956" s="196"/>
      <c r="P956" s="196"/>
      <c r="Q956" s="196"/>
      <c r="R956" s="196"/>
      <c r="S956" s="196"/>
      <c r="T956" s="196"/>
      <c r="U956" s="196"/>
      <c r="V956" s="196"/>
      <c r="W956" s="196"/>
      <c r="X956" s="196"/>
      <c r="Y956" s="196"/>
      <c r="Z956" s="196"/>
      <c r="AA956" s="196"/>
      <c r="AB956" s="196"/>
      <c r="AC956" s="196"/>
      <c r="AD956" s="196"/>
      <c r="AE956" s="196"/>
      <c r="AF956" s="196"/>
      <c r="AG956" s="196"/>
      <c r="AH956" s="196"/>
      <c r="AI956" s="196"/>
      <c r="AJ956" s="196"/>
      <c r="AK956" s="196"/>
      <c r="AL956" s="196"/>
      <c r="AM956" s="196"/>
      <c r="AN956" s="196"/>
      <c r="AO956" s="196"/>
      <c r="AP956" s="196"/>
      <c r="AQ956" s="196"/>
      <c r="AR956" s="196"/>
      <c r="AS956" s="196"/>
    </row>
    <row r="957" spans="1:45" ht="15.75" customHeight="1">
      <c r="A957" s="196"/>
      <c r="B957" s="196"/>
      <c r="C957" s="88"/>
      <c r="D957" s="88"/>
      <c r="E957" s="88"/>
      <c r="F957" s="196"/>
      <c r="G957" s="196"/>
      <c r="H957" s="196"/>
      <c r="I957" s="196"/>
      <c r="J957" s="196"/>
      <c r="K957" s="196"/>
      <c r="L957" s="196"/>
      <c r="M957" s="196"/>
      <c r="N957" s="196"/>
      <c r="O957" s="196"/>
      <c r="P957" s="196"/>
      <c r="Q957" s="196"/>
      <c r="R957" s="196"/>
      <c r="S957" s="196"/>
      <c r="T957" s="196"/>
      <c r="U957" s="196"/>
      <c r="V957" s="196"/>
      <c r="W957" s="196"/>
      <c r="X957" s="196"/>
      <c r="Y957" s="196"/>
      <c r="Z957" s="196"/>
      <c r="AA957" s="196"/>
      <c r="AB957" s="196"/>
      <c r="AC957" s="196"/>
      <c r="AD957" s="196"/>
      <c r="AE957" s="196"/>
      <c r="AF957" s="196"/>
      <c r="AG957" s="196"/>
      <c r="AH957" s="196"/>
      <c r="AI957" s="196"/>
      <c r="AJ957" s="196"/>
      <c r="AK957" s="196"/>
      <c r="AL957" s="196"/>
      <c r="AM957" s="196"/>
      <c r="AN957" s="196"/>
      <c r="AO957" s="196"/>
      <c r="AP957" s="196"/>
      <c r="AQ957" s="196"/>
      <c r="AR957" s="196"/>
      <c r="AS957" s="196"/>
    </row>
    <row r="958" spans="1:45" ht="15.75" customHeight="1">
      <c r="A958" s="196"/>
      <c r="B958" s="196"/>
      <c r="C958" s="88"/>
      <c r="D958" s="88"/>
      <c r="E958" s="88"/>
      <c r="F958" s="196"/>
      <c r="G958" s="196"/>
      <c r="H958" s="196"/>
      <c r="I958" s="196"/>
      <c r="J958" s="196"/>
      <c r="K958" s="196"/>
      <c r="L958" s="196"/>
      <c r="M958" s="196"/>
      <c r="N958" s="196"/>
      <c r="O958" s="196"/>
      <c r="P958" s="196"/>
      <c r="Q958" s="196"/>
      <c r="R958" s="196"/>
      <c r="S958" s="196"/>
      <c r="T958" s="196"/>
      <c r="U958" s="196"/>
      <c r="V958" s="196"/>
      <c r="W958" s="196"/>
      <c r="X958" s="196"/>
      <c r="Y958" s="196"/>
      <c r="Z958" s="196"/>
      <c r="AA958" s="196"/>
      <c r="AB958" s="196"/>
      <c r="AC958" s="196"/>
      <c r="AD958" s="196"/>
      <c r="AE958" s="196"/>
      <c r="AF958" s="196"/>
      <c r="AG958" s="196"/>
      <c r="AH958" s="196"/>
      <c r="AI958" s="196"/>
      <c r="AJ958" s="196"/>
      <c r="AK958" s="196"/>
      <c r="AL958" s="196"/>
      <c r="AM958" s="196"/>
      <c r="AN958" s="196"/>
      <c r="AO958" s="196"/>
      <c r="AP958" s="196"/>
      <c r="AQ958" s="196"/>
      <c r="AR958" s="196"/>
      <c r="AS958" s="196"/>
    </row>
    <row r="959" spans="1:45" ht="15.75" customHeight="1">
      <c r="A959" s="196"/>
      <c r="B959" s="196"/>
      <c r="C959" s="88"/>
      <c r="D959" s="88"/>
      <c r="E959" s="88"/>
      <c r="F959" s="196"/>
      <c r="G959" s="196"/>
      <c r="H959" s="196"/>
      <c r="I959" s="196"/>
      <c r="J959" s="196"/>
      <c r="K959" s="196"/>
      <c r="L959" s="196"/>
      <c r="M959" s="196"/>
      <c r="N959" s="196"/>
      <c r="O959" s="196"/>
      <c r="P959" s="196"/>
      <c r="Q959" s="196"/>
      <c r="R959" s="196"/>
      <c r="S959" s="196"/>
      <c r="T959" s="196"/>
      <c r="U959" s="196"/>
      <c r="V959" s="196"/>
      <c r="W959" s="196"/>
      <c r="X959" s="196"/>
      <c r="Y959" s="196"/>
      <c r="Z959" s="196"/>
      <c r="AA959" s="196"/>
      <c r="AB959" s="196"/>
      <c r="AC959" s="196"/>
      <c r="AD959" s="196"/>
      <c r="AE959" s="196"/>
      <c r="AF959" s="196"/>
      <c r="AG959" s="196"/>
      <c r="AH959" s="196"/>
      <c r="AI959" s="196"/>
      <c r="AJ959" s="196"/>
      <c r="AK959" s="196"/>
      <c r="AL959" s="196"/>
      <c r="AM959" s="196"/>
      <c r="AN959" s="196"/>
      <c r="AO959" s="196"/>
      <c r="AP959" s="196"/>
      <c r="AQ959" s="196"/>
      <c r="AR959" s="196"/>
      <c r="AS959" s="196"/>
    </row>
    <row r="960" spans="1:45" ht="15.75" customHeight="1">
      <c r="A960" s="196"/>
      <c r="B960" s="196"/>
      <c r="C960" s="88"/>
      <c r="D960" s="88"/>
      <c r="E960" s="88"/>
      <c r="F960" s="196"/>
      <c r="G960" s="196"/>
      <c r="H960" s="196"/>
      <c r="I960" s="196"/>
      <c r="J960" s="196"/>
      <c r="K960" s="196"/>
      <c r="L960" s="196"/>
      <c r="M960" s="196"/>
      <c r="N960" s="196"/>
      <c r="O960" s="196"/>
      <c r="P960" s="196"/>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c r="AQ960" s="196"/>
      <c r="AR960" s="196"/>
      <c r="AS960" s="196"/>
    </row>
    <row r="961" spans="1:45" ht="15.75" customHeight="1">
      <c r="A961" s="196"/>
      <c r="B961" s="196"/>
      <c r="C961" s="88"/>
      <c r="D961" s="88"/>
      <c r="E961" s="88"/>
      <c r="F961" s="196"/>
      <c r="G961" s="196"/>
      <c r="H961" s="196"/>
      <c r="I961" s="196"/>
      <c r="J961" s="196"/>
      <c r="K961" s="196"/>
      <c r="L961" s="196"/>
      <c r="M961" s="196"/>
      <c r="N961" s="196"/>
      <c r="O961" s="196"/>
      <c r="P961" s="196"/>
      <c r="Q961" s="196"/>
      <c r="R961" s="196"/>
      <c r="S961" s="196"/>
      <c r="T961" s="196"/>
      <c r="U961" s="196"/>
      <c r="V961" s="196"/>
      <c r="W961" s="196"/>
      <c r="X961" s="196"/>
      <c r="Y961" s="196"/>
      <c r="Z961" s="196"/>
      <c r="AA961" s="196"/>
      <c r="AB961" s="196"/>
      <c r="AC961" s="196"/>
      <c r="AD961" s="196"/>
      <c r="AE961" s="196"/>
      <c r="AF961" s="196"/>
      <c r="AG961" s="196"/>
      <c r="AH961" s="196"/>
      <c r="AI961" s="196"/>
      <c r="AJ961" s="196"/>
      <c r="AK961" s="196"/>
      <c r="AL961" s="196"/>
      <c r="AM961" s="196"/>
      <c r="AN961" s="196"/>
      <c r="AO961" s="196"/>
      <c r="AP961" s="196"/>
      <c r="AQ961" s="196"/>
      <c r="AR961" s="196"/>
      <c r="AS961" s="196"/>
    </row>
    <row r="962" spans="1:45" ht="15.75" customHeight="1">
      <c r="A962" s="196"/>
      <c r="B962" s="196"/>
      <c r="C962" s="88"/>
      <c r="D962" s="88"/>
      <c r="E962" s="88"/>
      <c r="F962" s="196"/>
      <c r="G962" s="196"/>
      <c r="H962" s="196"/>
      <c r="I962" s="196"/>
      <c r="J962" s="196"/>
      <c r="K962" s="196"/>
      <c r="L962" s="196"/>
      <c r="M962" s="196"/>
      <c r="N962" s="196"/>
      <c r="O962" s="196"/>
      <c r="P962" s="196"/>
      <c r="Q962" s="196"/>
      <c r="R962" s="196"/>
      <c r="S962" s="196"/>
      <c r="T962" s="196"/>
      <c r="U962" s="196"/>
      <c r="V962" s="196"/>
      <c r="W962" s="196"/>
      <c r="X962" s="196"/>
      <c r="Y962" s="196"/>
      <c r="Z962" s="196"/>
      <c r="AA962" s="196"/>
      <c r="AB962" s="196"/>
      <c r="AC962" s="196"/>
      <c r="AD962" s="196"/>
      <c r="AE962" s="196"/>
      <c r="AF962" s="196"/>
      <c r="AG962" s="196"/>
      <c r="AH962" s="196"/>
      <c r="AI962" s="196"/>
      <c r="AJ962" s="196"/>
      <c r="AK962" s="196"/>
      <c r="AL962" s="196"/>
      <c r="AM962" s="196"/>
      <c r="AN962" s="196"/>
      <c r="AO962" s="196"/>
      <c r="AP962" s="196"/>
      <c r="AQ962" s="196"/>
      <c r="AR962" s="196"/>
      <c r="AS962" s="196"/>
    </row>
    <row r="963" spans="1:45" ht="15.75" customHeight="1">
      <c r="A963" s="196"/>
      <c r="B963" s="196"/>
      <c r="C963" s="88"/>
      <c r="D963" s="88"/>
      <c r="E963" s="88"/>
      <c r="F963" s="196"/>
      <c r="G963" s="196"/>
      <c r="H963" s="196"/>
      <c r="I963" s="196"/>
      <c r="J963" s="196"/>
      <c r="K963" s="196"/>
      <c r="L963" s="196"/>
      <c r="M963" s="196"/>
      <c r="N963" s="196"/>
      <c r="O963" s="196"/>
      <c r="P963" s="196"/>
      <c r="Q963" s="196"/>
      <c r="R963" s="196"/>
      <c r="S963" s="196"/>
      <c r="T963" s="196"/>
      <c r="U963" s="196"/>
      <c r="V963" s="196"/>
      <c r="W963" s="196"/>
      <c r="X963" s="196"/>
      <c r="Y963" s="196"/>
      <c r="Z963" s="196"/>
      <c r="AA963" s="196"/>
      <c r="AB963" s="196"/>
      <c r="AC963" s="196"/>
      <c r="AD963" s="196"/>
      <c r="AE963" s="196"/>
      <c r="AF963" s="196"/>
      <c r="AG963" s="196"/>
      <c r="AH963" s="196"/>
      <c r="AI963" s="196"/>
      <c r="AJ963" s="196"/>
      <c r="AK963" s="196"/>
      <c r="AL963" s="196"/>
      <c r="AM963" s="196"/>
      <c r="AN963" s="196"/>
      <c r="AO963" s="196"/>
      <c r="AP963" s="196"/>
      <c r="AQ963" s="196"/>
      <c r="AR963" s="196"/>
      <c r="AS963" s="196"/>
    </row>
    <row r="964" spans="1:45" ht="15.75" customHeight="1">
      <c r="A964" s="196"/>
      <c r="B964" s="196"/>
      <c r="C964" s="88"/>
      <c r="D964" s="88"/>
      <c r="E964" s="88"/>
      <c r="F964" s="196"/>
      <c r="G964" s="196"/>
      <c r="H964" s="196"/>
      <c r="I964" s="196"/>
      <c r="J964" s="196"/>
      <c r="K964" s="196"/>
      <c r="L964" s="196"/>
      <c r="M964" s="196"/>
      <c r="N964" s="196"/>
      <c r="O964" s="196"/>
      <c r="P964" s="196"/>
      <c r="Q964" s="196"/>
      <c r="R964" s="196"/>
      <c r="S964" s="196"/>
      <c r="T964" s="196"/>
      <c r="U964" s="196"/>
      <c r="V964" s="196"/>
      <c r="W964" s="196"/>
      <c r="X964" s="196"/>
      <c r="Y964" s="196"/>
      <c r="Z964" s="196"/>
      <c r="AA964" s="196"/>
      <c r="AB964" s="196"/>
      <c r="AC964" s="196"/>
      <c r="AD964" s="196"/>
      <c r="AE964" s="196"/>
      <c r="AF964" s="196"/>
      <c r="AG964" s="196"/>
      <c r="AH964" s="196"/>
      <c r="AI964" s="196"/>
      <c r="AJ964" s="196"/>
      <c r="AK964" s="196"/>
      <c r="AL964" s="196"/>
      <c r="AM964" s="196"/>
      <c r="AN964" s="196"/>
      <c r="AO964" s="196"/>
      <c r="AP964" s="196"/>
      <c r="AQ964" s="196"/>
      <c r="AR964" s="196"/>
      <c r="AS964" s="196"/>
    </row>
    <row r="965" spans="1:45" ht="15.75" customHeight="1">
      <c r="A965" s="196"/>
      <c r="B965" s="196"/>
      <c r="C965" s="88"/>
      <c r="D965" s="88"/>
      <c r="E965" s="88"/>
      <c r="F965" s="196"/>
      <c r="G965" s="196"/>
      <c r="H965" s="196"/>
      <c r="I965" s="196"/>
      <c r="J965" s="196"/>
      <c r="K965" s="196"/>
      <c r="L965" s="196"/>
      <c r="M965" s="196"/>
      <c r="N965" s="196"/>
      <c r="O965" s="196"/>
      <c r="P965" s="196"/>
      <c r="Q965" s="196"/>
      <c r="R965" s="196"/>
      <c r="S965" s="196"/>
      <c r="T965" s="196"/>
      <c r="U965" s="196"/>
      <c r="V965" s="196"/>
      <c r="W965" s="196"/>
      <c r="X965" s="196"/>
      <c r="Y965" s="196"/>
      <c r="Z965" s="196"/>
      <c r="AA965" s="196"/>
      <c r="AB965" s="196"/>
      <c r="AC965" s="196"/>
      <c r="AD965" s="196"/>
      <c r="AE965" s="196"/>
      <c r="AF965" s="196"/>
      <c r="AG965" s="196"/>
      <c r="AH965" s="196"/>
      <c r="AI965" s="196"/>
      <c r="AJ965" s="196"/>
      <c r="AK965" s="196"/>
      <c r="AL965" s="196"/>
      <c r="AM965" s="196"/>
      <c r="AN965" s="196"/>
      <c r="AO965" s="196"/>
      <c r="AP965" s="196"/>
      <c r="AQ965" s="196"/>
      <c r="AR965" s="196"/>
      <c r="AS965" s="196"/>
    </row>
    <row r="966" spans="1:45" ht="15.75" customHeight="1">
      <c r="A966" s="196"/>
      <c r="B966" s="196"/>
      <c r="C966" s="88"/>
      <c r="D966" s="88"/>
      <c r="E966" s="88"/>
      <c r="F966" s="196"/>
      <c r="G966" s="196"/>
      <c r="H966" s="196"/>
      <c r="I966" s="196"/>
      <c r="J966" s="196"/>
      <c r="K966" s="196"/>
      <c r="L966" s="196"/>
      <c r="M966" s="196"/>
      <c r="N966" s="196"/>
      <c r="O966" s="196"/>
      <c r="P966" s="196"/>
      <c r="Q966" s="196"/>
      <c r="R966" s="196"/>
      <c r="S966" s="196"/>
      <c r="T966" s="196"/>
      <c r="U966" s="196"/>
      <c r="V966" s="196"/>
      <c r="W966" s="196"/>
      <c r="X966" s="196"/>
      <c r="Y966" s="196"/>
      <c r="Z966" s="196"/>
      <c r="AA966" s="196"/>
      <c r="AB966" s="196"/>
      <c r="AC966" s="196"/>
      <c r="AD966" s="196"/>
      <c r="AE966" s="196"/>
      <c r="AF966" s="196"/>
      <c r="AG966" s="196"/>
      <c r="AH966" s="196"/>
      <c r="AI966" s="196"/>
      <c r="AJ966" s="196"/>
      <c r="AK966" s="196"/>
      <c r="AL966" s="196"/>
      <c r="AM966" s="196"/>
      <c r="AN966" s="196"/>
      <c r="AO966" s="196"/>
      <c r="AP966" s="196"/>
      <c r="AQ966" s="196"/>
      <c r="AR966" s="196"/>
      <c r="AS966" s="196"/>
    </row>
    <row r="967" spans="1:45" ht="15.75" customHeight="1">
      <c r="A967" s="196"/>
      <c r="B967" s="196"/>
      <c r="C967" s="88"/>
      <c r="D967" s="88"/>
      <c r="E967" s="88"/>
      <c r="F967" s="196"/>
      <c r="G967" s="196"/>
      <c r="H967" s="196"/>
      <c r="I967" s="196"/>
      <c r="J967" s="196"/>
      <c r="K967" s="196"/>
      <c r="L967" s="196"/>
      <c r="M967" s="196"/>
      <c r="N967" s="196"/>
      <c r="O967" s="196"/>
      <c r="P967" s="196"/>
      <c r="Q967" s="196"/>
      <c r="R967" s="196"/>
      <c r="S967" s="196"/>
      <c r="T967" s="196"/>
      <c r="U967" s="196"/>
      <c r="V967" s="196"/>
      <c r="W967" s="196"/>
      <c r="X967" s="196"/>
      <c r="Y967" s="196"/>
      <c r="Z967" s="196"/>
      <c r="AA967" s="196"/>
      <c r="AB967" s="196"/>
      <c r="AC967" s="196"/>
      <c r="AD967" s="196"/>
      <c r="AE967" s="196"/>
      <c r="AF967" s="196"/>
      <c r="AG967" s="196"/>
      <c r="AH967" s="196"/>
      <c r="AI967" s="196"/>
      <c r="AJ967" s="196"/>
      <c r="AK967" s="196"/>
      <c r="AL967" s="196"/>
      <c r="AM967" s="196"/>
      <c r="AN967" s="196"/>
      <c r="AO967" s="196"/>
      <c r="AP967" s="196"/>
      <c r="AQ967" s="196"/>
      <c r="AR967" s="196"/>
      <c r="AS967" s="196"/>
    </row>
    <row r="968" spans="1:45" ht="15.75" customHeight="1">
      <c r="A968" s="196"/>
      <c r="B968" s="196"/>
      <c r="C968" s="88"/>
      <c r="D968" s="88"/>
      <c r="E968" s="88"/>
      <c r="F968" s="196"/>
      <c r="G968" s="196"/>
      <c r="H968" s="196"/>
      <c r="I968" s="196"/>
      <c r="J968" s="196"/>
      <c r="K968" s="196"/>
      <c r="L968" s="196"/>
      <c r="M968" s="196"/>
      <c r="N968" s="196"/>
      <c r="O968" s="196"/>
      <c r="P968" s="196"/>
      <c r="Q968" s="196"/>
      <c r="R968" s="196"/>
      <c r="S968" s="196"/>
      <c r="T968" s="196"/>
      <c r="U968" s="196"/>
      <c r="V968" s="196"/>
      <c r="W968" s="196"/>
      <c r="X968" s="196"/>
      <c r="Y968" s="196"/>
      <c r="Z968" s="196"/>
      <c r="AA968" s="196"/>
      <c r="AB968" s="196"/>
      <c r="AC968" s="196"/>
      <c r="AD968" s="196"/>
      <c r="AE968" s="196"/>
      <c r="AF968" s="196"/>
      <c r="AG968" s="196"/>
      <c r="AH968" s="196"/>
      <c r="AI968" s="196"/>
      <c r="AJ968" s="196"/>
      <c r="AK968" s="196"/>
      <c r="AL968" s="196"/>
      <c r="AM968" s="196"/>
      <c r="AN968" s="196"/>
      <c r="AO968" s="196"/>
      <c r="AP968" s="196"/>
      <c r="AQ968" s="196"/>
      <c r="AR968" s="196"/>
      <c r="AS968" s="196"/>
    </row>
    <row r="969" spans="1:45" ht="15.75" customHeight="1">
      <c r="A969" s="196"/>
      <c r="B969" s="196"/>
      <c r="C969" s="88"/>
      <c r="D969" s="88"/>
      <c r="E969" s="88"/>
      <c r="F969" s="196"/>
      <c r="G969" s="196"/>
      <c r="H969" s="196"/>
      <c r="I969" s="196"/>
      <c r="J969" s="196"/>
      <c r="K969" s="196"/>
      <c r="L969" s="196"/>
      <c r="M969" s="196"/>
      <c r="N969" s="196"/>
      <c r="O969" s="196"/>
      <c r="P969" s="196"/>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c r="AN969" s="196"/>
      <c r="AO969" s="196"/>
      <c r="AP969" s="196"/>
      <c r="AQ969" s="196"/>
      <c r="AR969" s="196"/>
      <c r="AS969" s="196"/>
    </row>
    <row r="970" spans="1:45" ht="15.75" customHeight="1">
      <c r="A970" s="196"/>
      <c r="B970" s="196"/>
      <c r="C970" s="88"/>
      <c r="D970" s="88"/>
      <c r="E970" s="88"/>
      <c r="F970" s="196"/>
      <c r="G970" s="196"/>
      <c r="H970" s="196"/>
      <c r="I970" s="196"/>
      <c r="J970" s="196"/>
      <c r="K970" s="196"/>
      <c r="L970" s="196"/>
      <c r="M970" s="196"/>
      <c r="N970" s="196"/>
      <c r="O970" s="196"/>
      <c r="P970" s="196"/>
      <c r="Q970" s="196"/>
      <c r="R970" s="196"/>
      <c r="S970" s="196"/>
      <c r="T970" s="196"/>
      <c r="U970" s="196"/>
      <c r="V970" s="196"/>
      <c r="W970" s="196"/>
      <c r="X970" s="196"/>
      <c r="Y970" s="196"/>
      <c r="Z970" s="196"/>
      <c r="AA970" s="196"/>
      <c r="AB970" s="196"/>
      <c r="AC970" s="196"/>
      <c r="AD970" s="196"/>
      <c r="AE970" s="196"/>
      <c r="AF970" s="196"/>
      <c r="AG970" s="196"/>
      <c r="AH970" s="196"/>
      <c r="AI970" s="196"/>
      <c r="AJ970" s="196"/>
      <c r="AK970" s="196"/>
      <c r="AL970" s="196"/>
      <c r="AM970" s="196"/>
      <c r="AN970" s="196"/>
      <c r="AO970" s="196"/>
      <c r="AP970" s="196"/>
      <c r="AQ970" s="196"/>
      <c r="AR970" s="196"/>
      <c r="AS970" s="196"/>
    </row>
    <row r="971" spans="1:45" ht="15.75" customHeight="1">
      <c r="A971" s="196"/>
      <c r="B971" s="196"/>
      <c r="C971" s="88"/>
      <c r="D971" s="88"/>
      <c r="E971" s="88"/>
      <c r="F971" s="196"/>
      <c r="G971" s="196"/>
      <c r="H971" s="196"/>
      <c r="I971" s="196"/>
      <c r="J971" s="196"/>
      <c r="K971" s="196"/>
      <c r="L971" s="196"/>
      <c r="M971" s="196"/>
      <c r="N971" s="196"/>
      <c r="O971" s="196"/>
      <c r="P971" s="196"/>
      <c r="Q971" s="196"/>
      <c r="R971" s="196"/>
      <c r="S971" s="196"/>
      <c r="T971" s="196"/>
      <c r="U971" s="196"/>
      <c r="V971" s="196"/>
      <c r="W971" s="196"/>
      <c r="X971" s="196"/>
      <c r="Y971" s="196"/>
      <c r="Z971" s="196"/>
      <c r="AA971" s="196"/>
      <c r="AB971" s="196"/>
      <c r="AC971" s="196"/>
      <c r="AD971" s="196"/>
      <c r="AE971" s="196"/>
      <c r="AF971" s="196"/>
      <c r="AG971" s="196"/>
      <c r="AH971" s="196"/>
      <c r="AI971" s="196"/>
      <c r="AJ971" s="196"/>
      <c r="AK971" s="196"/>
      <c r="AL971" s="196"/>
      <c r="AM971" s="196"/>
      <c r="AN971" s="196"/>
      <c r="AO971" s="196"/>
      <c r="AP971" s="196"/>
      <c r="AQ971" s="196"/>
      <c r="AR971" s="196"/>
      <c r="AS971" s="196"/>
    </row>
    <row r="972" spans="1:45" ht="15.75" customHeight="1">
      <c r="A972" s="196"/>
      <c r="B972" s="196"/>
      <c r="C972" s="88"/>
      <c r="D972" s="88"/>
      <c r="E972" s="88"/>
      <c r="F972" s="196"/>
      <c r="G972" s="196"/>
      <c r="H972" s="196"/>
      <c r="I972" s="196"/>
      <c r="J972" s="196"/>
      <c r="K972" s="196"/>
      <c r="L972" s="196"/>
      <c r="M972" s="196"/>
      <c r="N972" s="196"/>
      <c r="O972" s="196"/>
      <c r="P972" s="196"/>
      <c r="Q972" s="196"/>
      <c r="R972" s="196"/>
      <c r="S972" s="196"/>
      <c r="T972" s="196"/>
      <c r="U972" s="196"/>
      <c r="V972" s="196"/>
      <c r="W972" s="196"/>
      <c r="X972" s="196"/>
      <c r="Y972" s="196"/>
      <c r="Z972" s="196"/>
      <c r="AA972" s="196"/>
      <c r="AB972" s="196"/>
      <c r="AC972" s="196"/>
      <c r="AD972" s="196"/>
      <c r="AE972" s="196"/>
      <c r="AF972" s="196"/>
      <c r="AG972" s="196"/>
      <c r="AH972" s="196"/>
      <c r="AI972" s="196"/>
      <c r="AJ972" s="196"/>
      <c r="AK972" s="196"/>
      <c r="AL972" s="196"/>
      <c r="AM972" s="196"/>
      <c r="AN972" s="196"/>
      <c r="AO972" s="196"/>
      <c r="AP972" s="196"/>
      <c r="AQ972" s="196"/>
      <c r="AR972" s="196"/>
      <c r="AS972" s="196"/>
    </row>
    <row r="973" spans="1:45" ht="15.75" customHeight="1">
      <c r="A973" s="196"/>
      <c r="B973" s="196"/>
      <c r="C973" s="88"/>
      <c r="D973" s="88"/>
      <c r="E973" s="88"/>
      <c r="F973" s="196"/>
      <c r="G973" s="196"/>
      <c r="H973" s="196"/>
      <c r="I973" s="196"/>
      <c r="J973" s="196"/>
      <c r="K973" s="196"/>
      <c r="L973" s="196"/>
      <c r="M973" s="196"/>
      <c r="N973" s="196"/>
      <c r="O973" s="196"/>
      <c r="P973" s="196"/>
      <c r="Q973" s="196"/>
      <c r="R973" s="196"/>
      <c r="S973" s="196"/>
      <c r="T973" s="196"/>
      <c r="U973" s="196"/>
      <c r="V973" s="196"/>
      <c r="W973" s="196"/>
      <c r="X973" s="196"/>
      <c r="Y973" s="196"/>
      <c r="Z973" s="196"/>
      <c r="AA973" s="196"/>
      <c r="AB973" s="196"/>
      <c r="AC973" s="196"/>
      <c r="AD973" s="196"/>
      <c r="AE973" s="196"/>
      <c r="AF973" s="196"/>
      <c r="AG973" s="196"/>
      <c r="AH973" s="196"/>
      <c r="AI973" s="196"/>
      <c r="AJ973" s="196"/>
      <c r="AK973" s="196"/>
      <c r="AL973" s="196"/>
      <c r="AM973" s="196"/>
      <c r="AN973" s="196"/>
      <c r="AO973" s="196"/>
      <c r="AP973" s="196"/>
      <c r="AQ973" s="196"/>
      <c r="AR973" s="196"/>
      <c r="AS973" s="196"/>
    </row>
    <row r="974" spans="1:45" ht="15.75" customHeight="1">
      <c r="A974" s="196"/>
      <c r="B974" s="196"/>
      <c r="C974" s="88"/>
      <c r="D974" s="88"/>
      <c r="E974" s="88"/>
      <c r="F974" s="196"/>
      <c r="G974" s="196"/>
      <c r="H974" s="196"/>
      <c r="I974" s="196"/>
      <c r="J974" s="196"/>
      <c r="K974" s="196"/>
      <c r="L974" s="196"/>
      <c r="M974" s="196"/>
      <c r="N974" s="196"/>
      <c r="O974" s="196"/>
      <c r="P974" s="196"/>
      <c r="Q974" s="196"/>
      <c r="R974" s="196"/>
      <c r="S974" s="196"/>
      <c r="T974" s="196"/>
      <c r="U974" s="196"/>
      <c r="V974" s="196"/>
      <c r="W974" s="196"/>
      <c r="X974" s="196"/>
      <c r="Y974" s="196"/>
      <c r="Z974" s="196"/>
      <c r="AA974" s="196"/>
      <c r="AB974" s="196"/>
      <c r="AC974" s="196"/>
      <c r="AD974" s="196"/>
      <c r="AE974" s="196"/>
      <c r="AF974" s="196"/>
      <c r="AG974" s="196"/>
      <c r="AH974" s="196"/>
      <c r="AI974" s="196"/>
      <c r="AJ974" s="196"/>
      <c r="AK974" s="196"/>
      <c r="AL974" s="196"/>
      <c r="AM974" s="196"/>
      <c r="AN974" s="196"/>
      <c r="AO974" s="196"/>
      <c r="AP974" s="196"/>
      <c r="AQ974" s="196"/>
      <c r="AR974" s="196"/>
      <c r="AS974" s="196"/>
    </row>
    <row r="975" spans="1:45" ht="15.75" customHeight="1">
      <c r="A975" s="196"/>
      <c r="B975" s="196"/>
      <c r="C975" s="88"/>
      <c r="D975" s="88"/>
      <c r="E975" s="88"/>
      <c r="F975" s="196"/>
      <c r="G975" s="196"/>
      <c r="H975" s="196"/>
      <c r="I975" s="196"/>
      <c r="J975" s="196"/>
      <c r="K975" s="196"/>
      <c r="L975" s="196"/>
      <c r="M975" s="196"/>
      <c r="N975" s="196"/>
      <c r="O975" s="196"/>
      <c r="P975" s="196"/>
      <c r="Q975" s="196"/>
      <c r="R975" s="196"/>
      <c r="S975" s="196"/>
      <c r="T975" s="196"/>
      <c r="U975" s="196"/>
      <c r="V975" s="196"/>
      <c r="W975" s="196"/>
      <c r="X975" s="196"/>
      <c r="Y975" s="196"/>
      <c r="Z975" s="196"/>
      <c r="AA975" s="196"/>
      <c r="AB975" s="196"/>
      <c r="AC975" s="196"/>
      <c r="AD975" s="196"/>
      <c r="AE975" s="196"/>
      <c r="AF975" s="196"/>
      <c r="AG975" s="196"/>
      <c r="AH975" s="196"/>
      <c r="AI975" s="196"/>
      <c r="AJ975" s="196"/>
      <c r="AK975" s="196"/>
      <c r="AL975" s="196"/>
      <c r="AM975" s="196"/>
      <c r="AN975" s="196"/>
      <c r="AO975" s="196"/>
      <c r="AP975" s="196"/>
      <c r="AQ975" s="196"/>
      <c r="AR975" s="196"/>
      <c r="AS975" s="196"/>
    </row>
    <row r="976" spans="1:45" ht="15.75" customHeight="1">
      <c r="A976" s="196"/>
      <c r="B976" s="196"/>
      <c r="C976" s="88"/>
      <c r="D976" s="88"/>
      <c r="E976" s="88"/>
      <c r="F976" s="196"/>
      <c r="G976" s="196"/>
      <c r="H976" s="196"/>
      <c r="I976" s="196"/>
      <c r="J976" s="196"/>
      <c r="K976" s="196"/>
      <c r="L976" s="196"/>
      <c r="M976" s="196"/>
      <c r="N976" s="196"/>
      <c r="O976" s="196"/>
      <c r="P976" s="196"/>
      <c r="Q976" s="196"/>
      <c r="R976" s="196"/>
      <c r="S976" s="196"/>
      <c r="T976" s="196"/>
      <c r="U976" s="196"/>
      <c r="V976" s="196"/>
      <c r="W976" s="196"/>
      <c r="X976" s="196"/>
      <c r="Y976" s="196"/>
      <c r="Z976" s="196"/>
      <c r="AA976" s="196"/>
      <c r="AB976" s="196"/>
      <c r="AC976" s="196"/>
      <c r="AD976" s="196"/>
      <c r="AE976" s="196"/>
      <c r="AF976" s="196"/>
      <c r="AG976" s="196"/>
      <c r="AH976" s="196"/>
      <c r="AI976" s="196"/>
      <c r="AJ976" s="196"/>
      <c r="AK976" s="196"/>
      <c r="AL976" s="196"/>
      <c r="AM976" s="196"/>
      <c r="AN976" s="196"/>
      <c r="AO976" s="196"/>
      <c r="AP976" s="196"/>
      <c r="AQ976" s="196"/>
      <c r="AR976" s="196"/>
      <c r="AS976" s="196"/>
    </row>
    <row r="977" spans="1:45" ht="15.75" customHeight="1">
      <c r="A977" s="196"/>
      <c r="B977" s="196"/>
      <c r="C977" s="88"/>
      <c r="D977" s="88"/>
      <c r="E977" s="88"/>
      <c r="F977" s="196"/>
      <c r="G977" s="196"/>
      <c r="H977" s="196"/>
      <c r="I977" s="196"/>
      <c r="J977" s="196"/>
      <c r="K977" s="196"/>
      <c r="L977" s="196"/>
      <c r="M977" s="196"/>
      <c r="N977" s="196"/>
      <c r="O977" s="196"/>
      <c r="P977" s="196"/>
      <c r="Q977" s="196"/>
      <c r="R977" s="196"/>
      <c r="S977" s="196"/>
      <c r="T977" s="196"/>
      <c r="U977" s="196"/>
      <c r="V977" s="196"/>
      <c r="W977" s="196"/>
      <c r="X977" s="196"/>
      <c r="Y977" s="196"/>
      <c r="Z977" s="196"/>
      <c r="AA977" s="196"/>
      <c r="AB977" s="196"/>
      <c r="AC977" s="196"/>
      <c r="AD977" s="196"/>
      <c r="AE977" s="196"/>
      <c r="AF977" s="196"/>
      <c r="AG977" s="196"/>
      <c r="AH977" s="196"/>
      <c r="AI977" s="196"/>
      <c r="AJ977" s="196"/>
      <c r="AK977" s="196"/>
      <c r="AL977" s="196"/>
      <c r="AM977" s="196"/>
      <c r="AN977" s="196"/>
      <c r="AO977" s="196"/>
      <c r="AP977" s="196"/>
      <c r="AQ977" s="196"/>
      <c r="AR977" s="196"/>
      <c r="AS977" s="196"/>
    </row>
    <row r="978" spans="1:45" ht="15.75" customHeight="1">
      <c r="A978" s="196"/>
      <c r="B978" s="196"/>
      <c r="C978" s="88"/>
      <c r="D978" s="88"/>
      <c r="E978" s="88"/>
      <c r="F978" s="196"/>
      <c r="G978" s="196"/>
      <c r="H978" s="196"/>
      <c r="I978" s="196"/>
      <c r="J978" s="196"/>
      <c r="K978" s="196"/>
      <c r="L978" s="196"/>
      <c r="M978" s="196"/>
      <c r="N978" s="196"/>
      <c r="O978" s="196"/>
      <c r="P978" s="196"/>
      <c r="Q978" s="196"/>
      <c r="R978" s="196"/>
      <c r="S978" s="196"/>
      <c r="T978" s="196"/>
      <c r="U978" s="196"/>
      <c r="V978" s="196"/>
      <c r="W978" s="196"/>
      <c r="X978" s="196"/>
      <c r="Y978" s="196"/>
      <c r="Z978" s="196"/>
      <c r="AA978" s="196"/>
      <c r="AB978" s="196"/>
      <c r="AC978" s="196"/>
      <c r="AD978" s="196"/>
      <c r="AE978" s="196"/>
      <c r="AF978" s="196"/>
      <c r="AG978" s="196"/>
      <c r="AH978" s="196"/>
      <c r="AI978" s="196"/>
      <c r="AJ978" s="196"/>
      <c r="AK978" s="196"/>
      <c r="AL978" s="196"/>
      <c r="AM978" s="196"/>
      <c r="AN978" s="196"/>
      <c r="AO978" s="196"/>
      <c r="AP978" s="196"/>
      <c r="AQ978" s="196"/>
      <c r="AR978" s="196"/>
      <c r="AS978" s="196"/>
    </row>
    <row r="979" spans="1:45" ht="15.75" customHeight="1">
      <c r="A979" s="196"/>
      <c r="B979" s="196"/>
      <c r="C979" s="88"/>
      <c r="D979" s="88"/>
      <c r="E979" s="88"/>
      <c r="F979" s="196"/>
      <c r="G979" s="196"/>
      <c r="H979" s="196"/>
      <c r="I979" s="196"/>
      <c r="J979" s="196"/>
      <c r="K979" s="196"/>
      <c r="L979" s="196"/>
      <c r="M979" s="196"/>
      <c r="N979" s="196"/>
      <c r="O979" s="196"/>
      <c r="P979" s="196"/>
      <c r="Q979" s="196"/>
      <c r="R979" s="196"/>
      <c r="S979" s="196"/>
      <c r="T979" s="196"/>
      <c r="U979" s="196"/>
      <c r="V979" s="196"/>
      <c r="W979" s="196"/>
      <c r="X979" s="196"/>
      <c r="Y979" s="196"/>
      <c r="Z979" s="196"/>
      <c r="AA979" s="196"/>
      <c r="AB979" s="196"/>
      <c r="AC979" s="196"/>
      <c r="AD979" s="196"/>
      <c r="AE979" s="196"/>
      <c r="AF979" s="196"/>
      <c r="AG979" s="196"/>
      <c r="AH979" s="196"/>
      <c r="AI979" s="196"/>
      <c r="AJ979" s="196"/>
      <c r="AK979" s="196"/>
      <c r="AL979" s="196"/>
      <c r="AM979" s="196"/>
      <c r="AN979" s="196"/>
      <c r="AO979" s="196"/>
      <c r="AP979" s="196"/>
      <c r="AQ979" s="196"/>
      <c r="AR979" s="196"/>
      <c r="AS979" s="196"/>
    </row>
    <row r="980" spans="1:45" ht="15.75" customHeight="1">
      <c r="A980" s="196"/>
      <c r="B980" s="196"/>
      <c r="C980" s="88"/>
      <c r="D980" s="88"/>
      <c r="E980" s="88"/>
      <c r="F980" s="196"/>
      <c r="G980" s="196"/>
      <c r="H980" s="196"/>
      <c r="I980" s="196"/>
      <c r="J980" s="196"/>
      <c r="K980" s="196"/>
      <c r="L980" s="196"/>
      <c r="M980" s="196"/>
      <c r="N980" s="196"/>
      <c r="O980" s="196"/>
      <c r="P980" s="196"/>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c r="AQ980" s="196"/>
      <c r="AR980" s="196"/>
      <c r="AS980" s="196"/>
    </row>
    <row r="981" spans="1:45" ht="15.75" customHeight="1">
      <c r="A981" s="196"/>
      <c r="B981" s="196"/>
      <c r="C981" s="88"/>
      <c r="D981" s="88"/>
      <c r="E981" s="88"/>
      <c r="F981" s="196"/>
      <c r="G981" s="196"/>
      <c r="H981" s="196"/>
      <c r="I981" s="196"/>
      <c r="J981" s="196"/>
      <c r="K981" s="196"/>
      <c r="L981" s="196"/>
      <c r="M981" s="196"/>
      <c r="N981" s="196"/>
      <c r="O981" s="196"/>
      <c r="P981" s="196"/>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c r="AQ981" s="196"/>
      <c r="AR981" s="196"/>
      <c r="AS981" s="196"/>
    </row>
    <row r="982" spans="1:45" ht="15.75" customHeight="1">
      <c r="A982" s="196"/>
      <c r="B982" s="196"/>
      <c r="C982" s="88"/>
      <c r="D982" s="88"/>
      <c r="E982" s="88"/>
      <c r="F982" s="196"/>
      <c r="G982" s="196"/>
      <c r="H982" s="196"/>
      <c r="I982" s="196"/>
      <c r="J982" s="196"/>
      <c r="K982" s="196"/>
      <c r="L982" s="196"/>
      <c r="M982" s="196"/>
      <c r="N982" s="196"/>
      <c r="O982" s="196"/>
      <c r="P982" s="196"/>
      <c r="Q982" s="196"/>
      <c r="R982" s="196"/>
      <c r="S982" s="196"/>
      <c r="T982" s="196"/>
      <c r="U982" s="196"/>
      <c r="V982" s="196"/>
      <c r="W982" s="196"/>
      <c r="X982" s="196"/>
      <c r="Y982" s="196"/>
      <c r="Z982" s="196"/>
      <c r="AA982" s="196"/>
      <c r="AB982" s="196"/>
      <c r="AC982" s="196"/>
      <c r="AD982" s="196"/>
      <c r="AE982" s="196"/>
      <c r="AF982" s="196"/>
      <c r="AG982" s="196"/>
      <c r="AH982" s="196"/>
      <c r="AI982" s="196"/>
      <c r="AJ982" s="196"/>
      <c r="AK982" s="196"/>
      <c r="AL982" s="196"/>
      <c r="AM982" s="196"/>
      <c r="AN982" s="196"/>
      <c r="AO982" s="196"/>
      <c r="AP982" s="196"/>
      <c r="AQ982" s="196"/>
      <c r="AR982" s="196"/>
      <c r="AS982" s="196"/>
    </row>
    <row r="983" spans="1:45" ht="15.75" customHeight="1">
      <c r="A983" s="196"/>
      <c r="B983" s="196"/>
      <c r="C983" s="88"/>
      <c r="D983" s="88"/>
      <c r="E983" s="88"/>
      <c r="F983" s="196"/>
      <c r="G983" s="196"/>
      <c r="H983" s="196"/>
      <c r="I983" s="196"/>
      <c r="J983" s="196"/>
      <c r="K983" s="196"/>
      <c r="L983" s="196"/>
      <c r="M983" s="196"/>
      <c r="N983" s="196"/>
      <c r="O983" s="196"/>
      <c r="P983" s="196"/>
      <c r="Q983" s="196"/>
      <c r="R983" s="196"/>
      <c r="S983" s="196"/>
      <c r="T983" s="196"/>
      <c r="U983" s="196"/>
      <c r="V983" s="196"/>
      <c r="W983" s="196"/>
      <c r="X983" s="196"/>
      <c r="Y983" s="196"/>
      <c r="Z983" s="196"/>
      <c r="AA983" s="196"/>
      <c r="AB983" s="196"/>
      <c r="AC983" s="196"/>
      <c r="AD983" s="196"/>
      <c r="AE983" s="196"/>
      <c r="AF983" s="196"/>
      <c r="AG983" s="196"/>
      <c r="AH983" s="196"/>
      <c r="AI983" s="196"/>
      <c r="AJ983" s="196"/>
      <c r="AK983" s="196"/>
      <c r="AL983" s="196"/>
      <c r="AM983" s="196"/>
      <c r="AN983" s="196"/>
      <c r="AO983" s="196"/>
      <c r="AP983" s="196"/>
      <c r="AQ983" s="196"/>
      <c r="AR983" s="196"/>
      <c r="AS983" s="196"/>
    </row>
    <row r="984" spans="1:45" ht="15.75" customHeight="1">
      <c r="A984" s="196"/>
      <c r="B984" s="196"/>
      <c r="C984" s="88"/>
      <c r="D984" s="88"/>
      <c r="E984" s="88"/>
      <c r="F984" s="196"/>
      <c r="G984" s="196"/>
      <c r="H984" s="196"/>
      <c r="I984" s="196"/>
      <c r="J984" s="196"/>
      <c r="K984" s="196"/>
      <c r="L984" s="196"/>
      <c r="M984" s="196"/>
      <c r="N984" s="196"/>
      <c r="O984" s="196"/>
      <c r="P984" s="196"/>
      <c r="Q984" s="196"/>
      <c r="R984" s="196"/>
      <c r="S984" s="196"/>
      <c r="T984" s="196"/>
      <c r="U984" s="196"/>
      <c r="V984" s="196"/>
      <c r="W984" s="196"/>
      <c r="X984" s="196"/>
      <c r="Y984" s="196"/>
      <c r="Z984" s="196"/>
      <c r="AA984" s="196"/>
      <c r="AB984" s="196"/>
      <c r="AC984" s="196"/>
      <c r="AD984" s="196"/>
      <c r="AE984" s="196"/>
      <c r="AF984" s="196"/>
      <c r="AG984" s="196"/>
      <c r="AH984" s="196"/>
      <c r="AI984" s="196"/>
      <c r="AJ984" s="196"/>
      <c r="AK984" s="196"/>
      <c r="AL984" s="196"/>
      <c r="AM984" s="196"/>
      <c r="AN984" s="196"/>
      <c r="AO984" s="196"/>
      <c r="AP984" s="196"/>
      <c r="AQ984" s="196"/>
      <c r="AR984" s="196"/>
      <c r="AS984" s="196"/>
    </row>
    <row r="985" spans="1:45" ht="15.75" customHeight="1">
      <c r="A985" s="196"/>
      <c r="B985" s="196"/>
      <c r="C985" s="88"/>
      <c r="D985" s="88"/>
      <c r="E985" s="88"/>
      <c r="F985" s="196"/>
      <c r="G985" s="196"/>
      <c r="H985" s="196"/>
      <c r="I985" s="196"/>
      <c r="J985" s="196"/>
      <c r="K985" s="196"/>
      <c r="L985" s="196"/>
      <c r="M985" s="196"/>
      <c r="N985" s="196"/>
      <c r="O985" s="196"/>
      <c r="P985" s="196"/>
      <c r="Q985" s="196"/>
      <c r="R985" s="196"/>
      <c r="S985" s="196"/>
      <c r="T985" s="196"/>
      <c r="U985" s="196"/>
      <c r="V985" s="196"/>
      <c r="W985" s="196"/>
      <c r="X985" s="196"/>
      <c r="Y985" s="196"/>
      <c r="Z985" s="196"/>
      <c r="AA985" s="196"/>
      <c r="AB985" s="196"/>
      <c r="AC985" s="196"/>
      <c r="AD985" s="196"/>
      <c r="AE985" s="196"/>
      <c r="AF985" s="196"/>
      <c r="AG985" s="196"/>
      <c r="AH985" s="196"/>
      <c r="AI985" s="196"/>
      <c r="AJ985" s="196"/>
      <c r="AK985" s="196"/>
      <c r="AL985" s="196"/>
      <c r="AM985" s="196"/>
      <c r="AN985" s="196"/>
      <c r="AO985" s="196"/>
      <c r="AP985" s="196"/>
      <c r="AQ985" s="196"/>
      <c r="AR985" s="196"/>
      <c r="AS985" s="196"/>
    </row>
    <row r="986" spans="1:45" ht="15.75" customHeight="1">
      <c r="A986" s="196"/>
      <c r="B986" s="196"/>
      <c r="C986" s="88"/>
      <c r="D986" s="88"/>
      <c r="E986" s="88"/>
      <c r="F986" s="196"/>
      <c r="G986" s="196"/>
      <c r="H986" s="196"/>
      <c r="I986" s="196"/>
      <c r="J986" s="196"/>
      <c r="K986" s="196"/>
      <c r="L986" s="196"/>
      <c r="M986" s="196"/>
      <c r="N986" s="196"/>
      <c r="O986" s="196"/>
      <c r="P986" s="196"/>
      <c r="Q986" s="196"/>
      <c r="R986" s="196"/>
      <c r="S986" s="196"/>
      <c r="T986" s="196"/>
      <c r="U986" s="196"/>
      <c r="V986" s="196"/>
      <c r="W986" s="196"/>
      <c r="X986" s="196"/>
      <c r="Y986" s="196"/>
      <c r="Z986" s="196"/>
      <c r="AA986" s="196"/>
      <c r="AB986" s="196"/>
      <c r="AC986" s="196"/>
      <c r="AD986" s="196"/>
      <c r="AE986" s="196"/>
      <c r="AF986" s="196"/>
      <c r="AG986" s="196"/>
      <c r="AH986" s="196"/>
      <c r="AI986" s="196"/>
      <c r="AJ986" s="196"/>
      <c r="AK986" s="196"/>
      <c r="AL986" s="196"/>
      <c r="AM986" s="196"/>
      <c r="AN986" s="196"/>
      <c r="AO986" s="196"/>
      <c r="AP986" s="196"/>
      <c r="AQ986" s="196"/>
      <c r="AR986" s="196"/>
      <c r="AS986" s="196"/>
    </row>
    <row r="987" spans="1:45" ht="15.75" customHeight="1">
      <c r="A987" s="196"/>
      <c r="B987" s="196"/>
      <c r="C987" s="88"/>
      <c r="D987" s="88"/>
      <c r="E987" s="88"/>
      <c r="F987" s="196"/>
      <c r="G987" s="196"/>
      <c r="H987" s="196"/>
      <c r="I987" s="196"/>
      <c r="J987" s="196"/>
      <c r="K987" s="196"/>
      <c r="L987" s="196"/>
      <c r="M987" s="196"/>
      <c r="N987" s="196"/>
      <c r="O987" s="196"/>
      <c r="P987" s="196"/>
      <c r="Q987" s="196"/>
      <c r="R987" s="196"/>
      <c r="S987" s="196"/>
      <c r="T987" s="196"/>
      <c r="U987" s="196"/>
      <c r="V987" s="196"/>
      <c r="W987" s="196"/>
      <c r="X987" s="196"/>
      <c r="Y987" s="196"/>
      <c r="Z987" s="196"/>
      <c r="AA987" s="196"/>
      <c r="AB987" s="196"/>
      <c r="AC987" s="196"/>
      <c r="AD987" s="196"/>
      <c r="AE987" s="196"/>
      <c r="AF987" s="196"/>
      <c r="AG987" s="196"/>
      <c r="AH987" s="196"/>
      <c r="AI987" s="196"/>
      <c r="AJ987" s="196"/>
      <c r="AK987" s="196"/>
      <c r="AL987" s="196"/>
      <c r="AM987" s="196"/>
      <c r="AN987" s="196"/>
      <c r="AO987" s="196"/>
      <c r="AP987" s="196"/>
      <c r="AQ987" s="196"/>
      <c r="AR987" s="196"/>
      <c r="AS987" s="196"/>
    </row>
    <row r="988" spans="1:45" ht="15.75" customHeight="1">
      <c r="A988" s="196"/>
      <c r="B988" s="196"/>
      <c r="C988" s="88"/>
      <c r="D988" s="88"/>
      <c r="E988" s="88"/>
      <c r="F988" s="196"/>
      <c r="G988" s="196"/>
      <c r="H988" s="196"/>
      <c r="I988" s="196"/>
      <c r="J988" s="196"/>
      <c r="K988" s="196"/>
      <c r="L988" s="196"/>
      <c r="M988" s="196"/>
      <c r="N988" s="196"/>
      <c r="O988" s="196"/>
      <c r="P988" s="196"/>
      <c r="Q988" s="196"/>
      <c r="R988" s="196"/>
      <c r="S988" s="196"/>
      <c r="T988" s="196"/>
      <c r="U988" s="196"/>
      <c r="V988" s="196"/>
      <c r="W988" s="196"/>
      <c r="X988" s="196"/>
      <c r="Y988" s="196"/>
      <c r="Z988" s="196"/>
      <c r="AA988" s="196"/>
      <c r="AB988" s="196"/>
      <c r="AC988" s="196"/>
      <c r="AD988" s="196"/>
      <c r="AE988" s="196"/>
      <c r="AF988" s="196"/>
      <c r="AG988" s="196"/>
      <c r="AH988" s="196"/>
      <c r="AI988" s="196"/>
      <c r="AJ988" s="196"/>
      <c r="AK988" s="196"/>
      <c r="AL988" s="196"/>
      <c r="AM988" s="196"/>
      <c r="AN988" s="196"/>
      <c r="AO988" s="196"/>
      <c r="AP988" s="196"/>
      <c r="AQ988" s="196"/>
      <c r="AR988" s="196"/>
      <c r="AS988" s="196"/>
    </row>
    <row r="989" spans="1:45" ht="15.75" customHeight="1">
      <c r="A989" s="196"/>
      <c r="B989" s="196"/>
      <c r="C989" s="88"/>
      <c r="D989" s="88"/>
      <c r="E989" s="88"/>
      <c r="F989" s="196"/>
      <c r="G989" s="196"/>
      <c r="H989" s="196"/>
      <c r="I989" s="196"/>
      <c r="J989" s="196"/>
      <c r="K989" s="196"/>
      <c r="L989" s="196"/>
      <c r="M989" s="196"/>
      <c r="N989" s="196"/>
      <c r="O989" s="196"/>
      <c r="P989" s="196"/>
      <c r="Q989" s="196"/>
      <c r="R989" s="196"/>
      <c r="S989" s="196"/>
      <c r="T989" s="196"/>
      <c r="U989" s="196"/>
      <c r="V989" s="196"/>
      <c r="W989" s="196"/>
      <c r="X989" s="196"/>
      <c r="Y989" s="196"/>
      <c r="Z989" s="196"/>
      <c r="AA989" s="196"/>
      <c r="AB989" s="196"/>
      <c r="AC989" s="196"/>
      <c r="AD989" s="196"/>
      <c r="AE989" s="196"/>
      <c r="AF989" s="196"/>
      <c r="AG989" s="196"/>
      <c r="AH989" s="196"/>
      <c r="AI989" s="196"/>
      <c r="AJ989" s="196"/>
      <c r="AK989" s="196"/>
      <c r="AL989" s="196"/>
      <c r="AM989" s="196"/>
      <c r="AN989" s="196"/>
      <c r="AO989" s="196"/>
      <c r="AP989" s="196"/>
      <c r="AQ989" s="196"/>
      <c r="AR989" s="196"/>
      <c r="AS989" s="196"/>
    </row>
    <row r="990" spans="1:45" ht="15.75" customHeight="1">
      <c r="A990" s="196"/>
      <c r="B990" s="196"/>
      <c r="C990" s="88"/>
      <c r="D990" s="88"/>
      <c r="E990" s="88"/>
      <c r="F990" s="196"/>
      <c r="G990" s="196"/>
      <c r="H990" s="196"/>
      <c r="I990" s="196"/>
      <c r="J990" s="196"/>
      <c r="K990" s="196"/>
      <c r="L990" s="196"/>
      <c r="M990" s="196"/>
      <c r="N990" s="196"/>
      <c r="O990" s="196"/>
      <c r="P990" s="196"/>
      <c r="Q990" s="196"/>
      <c r="R990" s="196"/>
      <c r="S990" s="196"/>
      <c r="T990" s="196"/>
      <c r="U990" s="196"/>
      <c r="V990" s="196"/>
      <c r="W990" s="196"/>
      <c r="X990" s="196"/>
      <c r="Y990" s="196"/>
      <c r="Z990" s="196"/>
      <c r="AA990" s="196"/>
      <c r="AB990" s="196"/>
      <c r="AC990" s="196"/>
      <c r="AD990" s="196"/>
      <c r="AE990" s="196"/>
      <c r="AF990" s="196"/>
      <c r="AG990" s="196"/>
      <c r="AH990" s="196"/>
      <c r="AI990" s="196"/>
      <c r="AJ990" s="196"/>
      <c r="AK990" s="196"/>
      <c r="AL990" s="196"/>
      <c r="AM990" s="196"/>
      <c r="AN990" s="196"/>
      <c r="AO990" s="196"/>
      <c r="AP990" s="196"/>
      <c r="AQ990" s="196"/>
      <c r="AR990" s="196"/>
      <c r="AS990" s="196"/>
    </row>
    <row r="991" spans="1:45" ht="15.75" customHeight="1">
      <c r="A991" s="196"/>
      <c r="B991" s="196"/>
      <c r="C991" s="88"/>
      <c r="D991" s="88"/>
      <c r="E991" s="88"/>
      <c r="F991" s="196"/>
      <c r="G991" s="196"/>
      <c r="H991" s="196"/>
      <c r="I991" s="196"/>
      <c r="J991" s="196"/>
      <c r="K991" s="196"/>
      <c r="L991" s="196"/>
      <c r="M991" s="196"/>
      <c r="N991" s="196"/>
      <c r="O991" s="196"/>
      <c r="P991" s="196"/>
      <c r="Q991" s="196"/>
      <c r="R991" s="196"/>
      <c r="S991" s="196"/>
      <c r="T991" s="196"/>
      <c r="U991" s="196"/>
      <c r="V991" s="196"/>
      <c r="W991" s="196"/>
      <c r="X991" s="196"/>
      <c r="Y991" s="196"/>
      <c r="Z991" s="196"/>
      <c r="AA991" s="196"/>
      <c r="AB991" s="196"/>
      <c r="AC991" s="196"/>
      <c r="AD991" s="196"/>
      <c r="AE991" s="196"/>
      <c r="AF991" s="196"/>
      <c r="AG991" s="196"/>
      <c r="AH991" s="196"/>
      <c r="AI991" s="196"/>
      <c r="AJ991" s="196"/>
      <c r="AK991" s="196"/>
      <c r="AL991" s="196"/>
      <c r="AM991" s="196"/>
      <c r="AN991" s="196"/>
      <c r="AO991" s="196"/>
      <c r="AP991" s="196"/>
      <c r="AQ991" s="196"/>
      <c r="AR991" s="196"/>
      <c r="AS991" s="196"/>
    </row>
    <row r="992" spans="1:45" ht="15.75" customHeight="1">
      <c r="A992" s="196"/>
      <c r="B992" s="196"/>
      <c r="C992" s="88"/>
      <c r="D992" s="88"/>
      <c r="E992" s="88"/>
      <c r="F992" s="196"/>
      <c r="G992" s="196"/>
      <c r="H992" s="196"/>
      <c r="I992" s="196"/>
      <c r="J992" s="196"/>
      <c r="K992" s="196"/>
      <c r="L992" s="196"/>
      <c r="M992" s="196"/>
      <c r="N992" s="196"/>
      <c r="O992" s="196"/>
      <c r="P992" s="196"/>
      <c r="Q992" s="196"/>
      <c r="R992" s="196"/>
      <c r="S992" s="196"/>
      <c r="T992" s="196"/>
      <c r="U992" s="196"/>
      <c r="V992" s="196"/>
      <c r="W992" s="196"/>
      <c r="X992" s="196"/>
      <c r="Y992" s="196"/>
      <c r="Z992" s="196"/>
      <c r="AA992" s="196"/>
      <c r="AB992" s="196"/>
      <c r="AC992" s="196"/>
      <c r="AD992" s="196"/>
      <c r="AE992" s="196"/>
      <c r="AF992" s="196"/>
      <c r="AG992" s="196"/>
      <c r="AH992" s="196"/>
      <c r="AI992" s="196"/>
      <c r="AJ992" s="196"/>
      <c r="AK992" s="196"/>
      <c r="AL992" s="196"/>
      <c r="AM992" s="196"/>
      <c r="AN992" s="196"/>
      <c r="AO992" s="196"/>
      <c r="AP992" s="196"/>
      <c r="AQ992" s="196"/>
      <c r="AR992" s="196"/>
      <c r="AS992" s="196"/>
    </row>
    <row r="993" spans="1:45" ht="15.75" customHeight="1">
      <c r="A993" s="196"/>
      <c r="B993" s="196"/>
      <c r="C993" s="88"/>
      <c r="D993" s="88"/>
      <c r="E993" s="88"/>
      <c r="F993" s="196"/>
      <c r="G993" s="196"/>
      <c r="H993" s="196"/>
      <c r="I993" s="196"/>
      <c r="J993" s="196"/>
      <c r="K993" s="196"/>
      <c r="L993" s="196"/>
      <c r="M993" s="196"/>
      <c r="N993" s="196"/>
      <c r="O993" s="196"/>
      <c r="P993" s="196"/>
      <c r="Q993" s="196"/>
      <c r="R993" s="196"/>
      <c r="S993" s="196"/>
      <c r="T993" s="196"/>
      <c r="U993" s="196"/>
      <c r="V993" s="196"/>
      <c r="W993" s="196"/>
      <c r="X993" s="196"/>
      <c r="Y993" s="196"/>
      <c r="Z993" s="196"/>
      <c r="AA993" s="196"/>
      <c r="AB993" s="196"/>
      <c r="AC993" s="196"/>
      <c r="AD993" s="196"/>
      <c r="AE993" s="196"/>
      <c r="AF993" s="196"/>
      <c r="AG993" s="196"/>
      <c r="AH993" s="196"/>
      <c r="AI993" s="196"/>
      <c r="AJ993" s="196"/>
      <c r="AK993" s="196"/>
      <c r="AL993" s="196"/>
      <c r="AM993" s="196"/>
      <c r="AN993" s="196"/>
      <c r="AO993" s="196"/>
      <c r="AP993" s="196"/>
      <c r="AQ993" s="196"/>
      <c r="AR993" s="196"/>
      <c r="AS993" s="196"/>
    </row>
    <row r="994" spans="1:45" ht="15.75" customHeight="1">
      <c r="A994" s="196"/>
      <c r="B994" s="196"/>
      <c r="C994" s="88"/>
      <c r="D994" s="88"/>
      <c r="E994" s="88"/>
      <c r="F994" s="196"/>
      <c r="G994" s="196"/>
      <c r="H994" s="196"/>
      <c r="I994" s="196"/>
      <c r="J994" s="196"/>
      <c r="K994" s="196"/>
      <c r="L994" s="196"/>
      <c r="M994" s="196"/>
      <c r="N994" s="196"/>
      <c r="O994" s="196"/>
      <c r="P994" s="196"/>
      <c r="Q994" s="196"/>
      <c r="R994" s="196"/>
      <c r="S994" s="196"/>
      <c r="T994" s="196"/>
      <c r="U994" s="196"/>
      <c r="V994" s="196"/>
      <c r="W994" s="196"/>
      <c r="X994" s="196"/>
      <c r="Y994" s="196"/>
      <c r="Z994" s="196"/>
      <c r="AA994" s="196"/>
      <c r="AB994" s="196"/>
      <c r="AC994" s="196"/>
      <c r="AD994" s="196"/>
      <c r="AE994" s="196"/>
      <c r="AF994" s="196"/>
      <c r="AG994" s="196"/>
      <c r="AH994" s="196"/>
      <c r="AI994" s="196"/>
      <c r="AJ994" s="196"/>
      <c r="AK994" s="196"/>
      <c r="AL994" s="196"/>
      <c r="AM994" s="196"/>
      <c r="AN994" s="196"/>
      <c r="AO994" s="196"/>
      <c r="AP994" s="196"/>
      <c r="AQ994" s="196"/>
      <c r="AR994" s="196"/>
      <c r="AS994" s="196"/>
    </row>
    <row r="995" spans="1:45" ht="15.75" customHeight="1">
      <c r="A995" s="196"/>
      <c r="B995" s="196"/>
      <c r="C995" s="88"/>
      <c r="D995" s="88"/>
      <c r="E995" s="88"/>
      <c r="F995" s="196"/>
      <c r="G995" s="196"/>
      <c r="H995" s="196"/>
      <c r="I995" s="196"/>
      <c r="J995" s="196"/>
      <c r="K995" s="196"/>
      <c r="L995" s="196"/>
      <c r="M995" s="196"/>
      <c r="N995" s="196"/>
      <c r="O995" s="196"/>
      <c r="P995" s="196"/>
      <c r="Q995" s="196"/>
      <c r="R995" s="196"/>
      <c r="S995" s="196"/>
      <c r="T995" s="196"/>
      <c r="U995" s="196"/>
      <c r="V995" s="196"/>
      <c r="W995" s="196"/>
      <c r="X995" s="196"/>
      <c r="Y995" s="196"/>
      <c r="Z995" s="196"/>
      <c r="AA995" s="196"/>
      <c r="AB995" s="196"/>
      <c r="AC995" s="196"/>
      <c r="AD995" s="196"/>
      <c r="AE995" s="196"/>
      <c r="AF995" s="196"/>
      <c r="AG995" s="196"/>
      <c r="AH995" s="196"/>
      <c r="AI995" s="196"/>
      <c r="AJ995" s="196"/>
      <c r="AK995" s="196"/>
      <c r="AL995" s="196"/>
      <c r="AM995" s="196"/>
      <c r="AN995" s="196"/>
      <c r="AO995" s="196"/>
      <c r="AP995" s="196"/>
      <c r="AQ995" s="196"/>
      <c r="AR995" s="196"/>
      <c r="AS995" s="196"/>
    </row>
    <row r="996" spans="1:45" ht="15.75" customHeight="1">
      <c r="A996" s="196"/>
      <c r="B996" s="196"/>
      <c r="C996" s="88"/>
      <c r="D996" s="88"/>
      <c r="E996" s="88"/>
      <c r="F996" s="196"/>
      <c r="G996" s="196"/>
      <c r="H996" s="196"/>
      <c r="I996" s="196"/>
      <c r="J996" s="196"/>
      <c r="K996" s="196"/>
      <c r="L996" s="196"/>
      <c r="M996" s="196"/>
      <c r="N996" s="196"/>
      <c r="O996" s="196"/>
      <c r="P996" s="196"/>
      <c r="Q996" s="196"/>
      <c r="R996" s="196"/>
      <c r="S996" s="196"/>
      <c r="T996" s="196"/>
      <c r="U996" s="196"/>
      <c r="V996" s="196"/>
      <c r="W996" s="196"/>
      <c r="X996" s="196"/>
      <c r="Y996" s="196"/>
      <c r="Z996" s="196"/>
      <c r="AA996" s="196"/>
      <c r="AB996" s="196"/>
      <c r="AC996" s="196"/>
      <c r="AD996" s="196"/>
      <c r="AE996" s="196"/>
      <c r="AF996" s="196"/>
      <c r="AG996" s="196"/>
      <c r="AH996" s="196"/>
      <c r="AI996" s="196"/>
      <c r="AJ996" s="196"/>
      <c r="AK996" s="196"/>
      <c r="AL996" s="196"/>
      <c r="AM996" s="196"/>
      <c r="AN996" s="196"/>
      <c r="AO996" s="196"/>
      <c r="AP996" s="196"/>
      <c r="AQ996" s="196"/>
      <c r="AR996" s="196"/>
      <c r="AS996" s="196"/>
    </row>
    <row r="997" spans="1:45" ht="15.75" customHeight="1">
      <c r="A997" s="196"/>
      <c r="B997" s="196"/>
      <c r="C997" s="88"/>
      <c r="D997" s="88"/>
      <c r="E997" s="88"/>
      <c r="F997" s="196"/>
      <c r="G997" s="196"/>
      <c r="H997" s="196"/>
      <c r="I997" s="196"/>
      <c r="J997" s="196"/>
      <c r="K997" s="196"/>
      <c r="L997" s="196"/>
      <c r="M997" s="196"/>
      <c r="N997" s="196"/>
      <c r="O997" s="196"/>
      <c r="P997" s="196"/>
      <c r="Q997" s="196"/>
      <c r="R997" s="196"/>
      <c r="S997" s="196"/>
      <c r="T997" s="196"/>
      <c r="U997" s="196"/>
      <c r="V997" s="196"/>
      <c r="W997" s="196"/>
      <c r="X997" s="196"/>
      <c r="Y997" s="196"/>
      <c r="Z997" s="196"/>
      <c r="AA997" s="196"/>
      <c r="AB997" s="196"/>
      <c r="AC997" s="196"/>
      <c r="AD997" s="196"/>
      <c r="AE997" s="196"/>
      <c r="AF997" s="196"/>
      <c r="AG997" s="196"/>
      <c r="AH997" s="196"/>
      <c r="AI997" s="196"/>
      <c r="AJ997" s="196"/>
      <c r="AK997" s="196"/>
      <c r="AL997" s="196"/>
      <c r="AM997" s="196"/>
      <c r="AN997" s="196"/>
      <c r="AO997" s="196"/>
      <c r="AP997" s="196"/>
      <c r="AQ997" s="196"/>
      <c r="AR997" s="196"/>
      <c r="AS997" s="196"/>
    </row>
    <row r="998" spans="1:45" ht="15.75" customHeight="1">
      <c r="A998" s="196"/>
      <c r="B998" s="196"/>
      <c r="C998" s="88"/>
      <c r="D998" s="88"/>
      <c r="E998" s="88"/>
      <c r="F998" s="196"/>
      <c r="G998" s="196"/>
      <c r="H998" s="196"/>
      <c r="I998" s="196"/>
      <c r="J998" s="196"/>
      <c r="K998" s="196"/>
      <c r="L998" s="196"/>
      <c r="M998" s="196"/>
      <c r="N998" s="196"/>
      <c r="O998" s="196"/>
      <c r="P998" s="196"/>
      <c r="Q998" s="196"/>
      <c r="R998" s="196"/>
      <c r="S998" s="196"/>
      <c r="T998" s="196"/>
      <c r="U998" s="196"/>
      <c r="V998" s="196"/>
      <c r="W998" s="196"/>
      <c r="X998" s="196"/>
      <c r="Y998" s="196"/>
      <c r="Z998" s="196"/>
      <c r="AA998" s="196"/>
      <c r="AB998" s="196"/>
      <c r="AC998" s="196"/>
      <c r="AD998" s="196"/>
      <c r="AE998" s="196"/>
      <c r="AF998" s="196"/>
      <c r="AG998" s="196"/>
      <c r="AH998" s="196"/>
      <c r="AI998" s="196"/>
      <c r="AJ998" s="196"/>
      <c r="AK998" s="196"/>
      <c r="AL998" s="196"/>
      <c r="AM998" s="196"/>
      <c r="AN998" s="196"/>
      <c r="AO998" s="196"/>
      <c r="AP998" s="196"/>
      <c r="AQ998" s="196"/>
      <c r="AR998" s="196"/>
      <c r="AS998" s="196"/>
    </row>
    <row r="999" spans="1:45" ht="15.75" customHeight="1">
      <c r="A999" s="196"/>
      <c r="B999" s="196"/>
      <c r="C999" s="88"/>
      <c r="D999" s="88"/>
      <c r="E999" s="88"/>
      <c r="F999" s="196"/>
      <c r="G999" s="196"/>
      <c r="H999" s="196"/>
      <c r="I999" s="196"/>
      <c r="J999" s="196"/>
      <c r="K999" s="196"/>
      <c r="L999" s="196"/>
      <c r="M999" s="196"/>
      <c r="N999" s="196"/>
      <c r="O999" s="196"/>
      <c r="P999" s="196"/>
      <c r="Q999" s="196"/>
      <c r="R999" s="196"/>
      <c r="S999" s="196"/>
      <c r="T999" s="196"/>
      <c r="U999" s="196"/>
      <c r="V999" s="196"/>
      <c r="W999" s="196"/>
      <c r="X999" s="196"/>
      <c r="Y999" s="196"/>
      <c r="Z999" s="196"/>
      <c r="AA999" s="196"/>
      <c r="AB999" s="196"/>
      <c r="AC999" s="196"/>
      <c r="AD999" s="196"/>
      <c r="AE999" s="196"/>
      <c r="AF999" s="196"/>
      <c r="AG999" s="196"/>
      <c r="AH999" s="196"/>
      <c r="AI999" s="196"/>
      <c r="AJ999" s="196"/>
      <c r="AK999" s="196"/>
      <c r="AL999" s="196"/>
      <c r="AM999" s="196"/>
      <c r="AN999" s="196"/>
      <c r="AO999" s="196"/>
      <c r="AP999" s="196"/>
      <c r="AQ999" s="196"/>
      <c r="AR999" s="196"/>
      <c r="AS999" s="196"/>
    </row>
    <row r="1000" spans="1:45" ht="15.75" customHeight="1">
      <c r="A1000" s="196"/>
      <c r="B1000" s="196"/>
      <c r="C1000" s="88"/>
      <c r="D1000" s="88"/>
      <c r="E1000" s="88"/>
      <c r="F1000" s="196"/>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c r="AA1000" s="196"/>
      <c r="AB1000" s="196"/>
      <c r="AC1000" s="196"/>
      <c r="AD1000" s="196"/>
      <c r="AE1000" s="196"/>
      <c r="AF1000" s="196"/>
      <c r="AG1000" s="196"/>
      <c r="AH1000" s="196"/>
      <c r="AI1000" s="196"/>
      <c r="AJ1000" s="196"/>
      <c r="AK1000" s="196"/>
      <c r="AL1000" s="196"/>
      <c r="AM1000" s="196"/>
      <c r="AN1000" s="196"/>
      <c r="AO1000" s="196"/>
      <c r="AP1000" s="196"/>
      <c r="AQ1000" s="196"/>
      <c r="AR1000" s="196"/>
      <c r="AS1000" s="196"/>
    </row>
  </sheetData>
  <mergeCells count="22">
    <mergeCell ref="AK4:AM5"/>
    <mergeCell ref="AN4:AP5"/>
    <mergeCell ref="AQ4:AQ6"/>
    <mergeCell ref="AR4:AR6"/>
    <mergeCell ref="AS4:AS6"/>
    <mergeCell ref="AE4:AG5"/>
    <mergeCell ref="AH4:AJ5"/>
    <mergeCell ref="C112:D112"/>
    <mergeCell ref="C113:D113"/>
    <mergeCell ref="C114:D114"/>
    <mergeCell ref="J4:L5"/>
    <mergeCell ref="M4:O5"/>
    <mergeCell ref="P4:R5"/>
    <mergeCell ref="S4:U5"/>
    <mergeCell ref="V4:X5"/>
    <mergeCell ref="Y4:AA5"/>
    <mergeCell ref="AB4:AD5"/>
    <mergeCell ref="A4:A5"/>
    <mergeCell ref="B4:B5"/>
    <mergeCell ref="C4:C5"/>
    <mergeCell ref="D4:F5"/>
    <mergeCell ref="G4:I5"/>
  </mergeCells>
  <pageMargins left="0" right="0" top="0.74803149606299213" bottom="0.74803149606299213"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4.42578125" defaultRowHeight="15" customHeight="1"/>
  <cols>
    <col min="1" max="1" width="2.5703125" customWidth="1"/>
    <col min="2" max="2" width="5" customWidth="1"/>
    <col min="3" max="3" width="3" customWidth="1"/>
    <col min="4" max="4" width="11.42578125" customWidth="1"/>
    <col min="5" max="5" width="10.85546875" customWidth="1"/>
    <col min="6" max="6" width="10.28515625" customWidth="1"/>
    <col min="7" max="7" width="18.28515625" customWidth="1"/>
    <col min="8" max="8" width="15.85546875" customWidth="1"/>
    <col min="9" max="9" width="6.5703125" customWidth="1"/>
    <col min="10" max="10" width="17.42578125" hidden="1" customWidth="1"/>
    <col min="11" max="26" width="10.7109375" customWidth="1"/>
  </cols>
  <sheetData>
    <row r="1" spans="1:26" ht="15.75">
      <c r="A1" s="523"/>
      <c r="B1" s="523"/>
      <c r="C1" s="523"/>
      <c r="D1" s="523"/>
      <c r="E1" s="523"/>
      <c r="F1" s="523"/>
      <c r="G1" s="523"/>
      <c r="H1" s="524"/>
      <c r="I1" s="523"/>
      <c r="J1" s="523"/>
      <c r="K1" s="523"/>
      <c r="L1" s="523"/>
      <c r="M1" s="523"/>
      <c r="N1" s="523"/>
      <c r="O1" s="523"/>
      <c r="P1" s="523"/>
      <c r="Q1" s="523"/>
      <c r="R1" s="523"/>
      <c r="S1" s="523"/>
      <c r="T1" s="523"/>
      <c r="U1" s="523"/>
      <c r="V1" s="523"/>
      <c r="W1" s="523"/>
      <c r="X1" s="523"/>
      <c r="Y1" s="523"/>
      <c r="Z1" s="523"/>
    </row>
    <row r="2" spans="1:26" ht="15.75">
      <c r="A2" s="523"/>
      <c r="B2" s="523"/>
      <c r="C2" s="523"/>
      <c r="D2" s="523"/>
      <c r="E2" s="523"/>
      <c r="F2" s="523"/>
      <c r="G2" s="523"/>
      <c r="H2" s="524"/>
      <c r="I2" s="523"/>
      <c r="J2" s="523"/>
      <c r="K2" s="523"/>
      <c r="L2" s="523"/>
      <c r="M2" s="523"/>
      <c r="N2" s="523"/>
      <c r="O2" s="523"/>
      <c r="P2" s="523"/>
      <c r="Q2" s="523"/>
      <c r="R2" s="523"/>
      <c r="S2" s="523"/>
      <c r="T2" s="523"/>
      <c r="U2" s="523"/>
      <c r="V2" s="523"/>
      <c r="W2" s="523"/>
      <c r="X2" s="523"/>
      <c r="Y2" s="523"/>
      <c r="Z2" s="523"/>
    </row>
    <row r="3" spans="1:26" ht="15.75">
      <c r="A3" s="523"/>
      <c r="B3" s="523"/>
      <c r="C3" s="523"/>
      <c r="D3" s="523"/>
      <c r="E3" s="523"/>
      <c r="F3" s="523"/>
      <c r="G3" s="523"/>
      <c r="H3" s="524"/>
      <c r="I3" s="523"/>
      <c r="J3" s="523"/>
      <c r="K3" s="523"/>
      <c r="L3" s="523"/>
      <c r="M3" s="523"/>
      <c r="N3" s="523"/>
      <c r="O3" s="523"/>
      <c r="P3" s="523"/>
      <c r="Q3" s="523"/>
      <c r="R3" s="523"/>
      <c r="S3" s="523"/>
      <c r="T3" s="523"/>
      <c r="U3" s="523"/>
      <c r="V3" s="523"/>
      <c r="W3" s="523"/>
      <c r="X3" s="523"/>
      <c r="Y3" s="523"/>
      <c r="Z3" s="523"/>
    </row>
    <row r="4" spans="1:26" ht="24.75" customHeight="1">
      <c r="A4" s="1045" t="s">
        <v>1186</v>
      </c>
      <c r="B4" s="942"/>
      <c r="C4" s="942"/>
      <c r="D4" s="942"/>
      <c r="E4" s="942"/>
      <c r="F4" s="942"/>
      <c r="G4" s="942"/>
      <c r="H4" s="942"/>
      <c r="I4" s="942"/>
      <c r="J4" s="523"/>
      <c r="K4" s="523"/>
      <c r="L4" s="523"/>
      <c r="M4" s="523"/>
      <c r="N4" s="523"/>
      <c r="O4" s="523"/>
      <c r="P4" s="523"/>
      <c r="Q4" s="523"/>
      <c r="R4" s="523"/>
      <c r="S4" s="523"/>
      <c r="T4" s="523"/>
      <c r="U4" s="523"/>
      <c r="V4" s="523"/>
      <c r="W4" s="523"/>
      <c r="X4" s="523"/>
      <c r="Y4" s="523"/>
      <c r="Z4" s="523"/>
    </row>
    <row r="5" spans="1:26" ht="13.5" customHeight="1">
      <c r="A5" s="1045" t="s">
        <v>1187</v>
      </c>
      <c r="B5" s="942"/>
      <c r="C5" s="942"/>
      <c r="D5" s="942"/>
      <c r="E5" s="942"/>
      <c r="F5" s="942"/>
      <c r="G5" s="942"/>
      <c r="H5" s="942"/>
      <c r="I5" s="942"/>
      <c r="J5" s="523"/>
      <c r="K5" s="523"/>
      <c r="L5" s="523"/>
      <c r="M5" s="523"/>
      <c r="N5" s="523"/>
      <c r="O5" s="523"/>
      <c r="P5" s="523"/>
      <c r="Q5" s="523"/>
      <c r="R5" s="523"/>
      <c r="S5" s="523"/>
      <c r="T5" s="523"/>
      <c r="U5" s="523"/>
      <c r="V5" s="523"/>
      <c r="W5" s="523"/>
      <c r="X5" s="523"/>
      <c r="Y5" s="523"/>
      <c r="Z5" s="523"/>
    </row>
    <row r="6" spans="1:26" ht="8.25" customHeight="1">
      <c r="A6" s="942"/>
      <c r="B6" s="942"/>
      <c r="C6" s="942"/>
      <c r="D6" s="942"/>
      <c r="E6" s="942"/>
      <c r="F6" s="942"/>
      <c r="G6" s="942"/>
      <c r="H6" s="942"/>
      <c r="I6" s="942"/>
      <c r="J6" s="523"/>
      <c r="K6" s="523"/>
      <c r="L6" s="523"/>
      <c r="M6" s="523"/>
      <c r="N6" s="523"/>
      <c r="O6" s="523"/>
      <c r="P6" s="523"/>
      <c r="Q6" s="523"/>
      <c r="R6" s="523"/>
      <c r="S6" s="523"/>
      <c r="T6" s="523"/>
      <c r="U6" s="523"/>
      <c r="V6" s="523"/>
      <c r="W6" s="523"/>
      <c r="X6" s="523"/>
      <c r="Y6" s="523"/>
      <c r="Z6" s="523"/>
    </row>
    <row r="7" spans="1:26" ht="17.25" customHeight="1">
      <c r="A7" s="1046" t="s">
        <v>1188</v>
      </c>
      <c r="B7" s="942"/>
      <c r="C7" s="942"/>
      <c r="D7" s="942"/>
      <c r="E7" s="942"/>
      <c r="F7" s="942"/>
      <c r="G7" s="942"/>
      <c r="H7" s="942"/>
      <c r="I7" s="525"/>
      <c r="J7" s="523"/>
      <c r="K7" s="523"/>
      <c r="L7" s="523"/>
      <c r="M7" s="523"/>
      <c r="N7" s="523"/>
      <c r="O7" s="523"/>
      <c r="P7" s="523"/>
      <c r="Q7" s="523"/>
      <c r="R7" s="523"/>
      <c r="S7" s="523"/>
      <c r="T7" s="523"/>
      <c r="U7" s="523"/>
      <c r="V7" s="523"/>
      <c r="W7" s="523"/>
      <c r="X7" s="523"/>
      <c r="Y7" s="523"/>
      <c r="Z7" s="523"/>
    </row>
    <row r="8" spans="1:26" ht="10.5" customHeight="1">
      <c r="A8" s="523"/>
      <c r="B8" s="525"/>
      <c r="C8" s="525"/>
      <c r="D8" s="525"/>
      <c r="E8" s="525"/>
      <c r="F8" s="525"/>
      <c r="G8" s="525"/>
      <c r="H8" s="525"/>
      <c r="I8" s="525"/>
      <c r="J8" s="523"/>
      <c r="K8" s="523"/>
      <c r="L8" s="523"/>
      <c r="M8" s="523"/>
      <c r="N8" s="523"/>
      <c r="O8" s="523"/>
      <c r="P8" s="523"/>
      <c r="Q8" s="523"/>
      <c r="R8" s="523"/>
      <c r="S8" s="523"/>
      <c r="T8" s="523"/>
      <c r="U8" s="523"/>
      <c r="V8" s="523"/>
      <c r="W8" s="523"/>
      <c r="X8" s="523"/>
      <c r="Y8" s="523"/>
      <c r="Z8" s="523"/>
    </row>
    <row r="9" spans="1:26" ht="16.5" customHeight="1">
      <c r="A9" s="523"/>
      <c r="J9" s="523"/>
      <c r="K9" s="523"/>
      <c r="L9" s="523"/>
      <c r="M9" s="523"/>
      <c r="N9" s="523"/>
      <c r="O9" s="523"/>
      <c r="P9" s="523"/>
      <c r="Q9" s="523"/>
      <c r="R9" s="523"/>
      <c r="S9" s="523"/>
      <c r="T9" s="523"/>
      <c r="U9" s="523"/>
      <c r="V9" s="523"/>
      <c r="W9" s="523"/>
      <c r="X9" s="523"/>
      <c r="Y9" s="523"/>
      <c r="Z9" s="523"/>
    </row>
    <row r="10" spans="1:26" ht="15.75">
      <c r="A10" s="523"/>
      <c r="B10" s="1047" t="s">
        <v>462</v>
      </c>
      <c r="C10" s="935"/>
      <c r="D10" s="935"/>
      <c r="E10" s="935"/>
      <c r="F10" s="935"/>
      <c r="G10" s="958"/>
      <c r="H10" s="526" t="s">
        <v>1189</v>
      </c>
      <c r="J10" s="526" t="s">
        <v>1190</v>
      </c>
      <c r="K10" s="523"/>
      <c r="L10" s="523"/>
      <c r="M10" s="523"/>
      <c r="N10" s="523"/>
      <c r="O10" s="523"/>
      <c r="P10" s="523"/>
      <c r="Q10" s="523"/>
      <c r="R10" s="523"/>
      <c r="S10" s="523"/>
      <c r="T10" s="523"/>
      <c r="U10" s="523"/>
      <c r="V10" s="523"/>
      <c r="W10" s="523"/>
      <c r="X10" s="523"/>
      <c r="Y10" s="523"/>
      <c r="Z10" s="523"/>
    </row>
    <row r="11" spans="1:26" ht="15.75">
      <c r="A11" s="523"/>
      <c r="B11" s="1048"/>
      <c r="C11" s="935"/>
      <c r="D11" s="935"/>
      <c r="E11" s="935"/>
      <c r="F11" s="935"/>
      <c r="G11" s="958"/>
      <c r="H11" s="527" t="s">
        <v>1191</v>
      </c>
      <c r="J11" s="527" t="s">
        <v>1192</v>
      </c>
      <c r="K11" s="523"/>
      <c r="L11" s="523"/>
      <c r="M11" s="523"/>
      <c r="N11" s="523"/>
      <c r="O11" s="523"/>
      <c r="P11" s="523"/>
      <c r="Q11" s="523"/>
      <c r="R11" s="523"/>
      <c r="S11" s="523"/>
      <c r="T11" s="523"/>
      <c r="U11" s="523"/>
      <c r="V11" s="523"/>
      <c r="W11" s="523"/>
      <c r="X11" s="523"/>
      <c r="Y11" s="523"/>
      <c r="Z11" s="523"/>
    </row>
    <row r="12" spans="1:26" ht="15.75">
      <c r="A12" s="523"/>
      <c r="B12" s="528"/>
      <c r="C12" s="529"/>
      <c r="D12" s="529"/>
      <c r="E12" s="529"/>
      <c r="F12" s="529"/>
      <c r="G12" s="530"/>
      <c r="H12" s="527" t="s">
        <v>1193</v>
      </c>
      <c r="J12" s="527" t="s">
        <v>1194</v>
      </c>
      <c r="K12" s="523"/>
      <c r="L12" s="523"/>
      <c r="M12" s="523"/>
      <c r="N12" s="523"/>
      <c r="O12" s="523"/>
      <c r="P12" s="523"/>
      <c r="Q12" s="523"/>
      <c r="R12" s="523"/>
      <c r="S12" s="523"/>
      <c r="T12" s="523"/>
      <c r="U12" s="523"/>
      <c r="V12" s="523"/>
      <c r="W12" s="523"/>
      <c r="X12" s="523"/>
      <c r="Y12" s="523"/>
      <c r="Z12" s="523"/>
    </row>
    <row r="13" spans="1:26" ht="15.75">
      <c r="A13" s="523"/>
      <c r="B13" s="531" t="s">
        <v>1195</v>
      </c>
      <c r="C13" s="1042" t="s">
        <v>1196</v>
      </c>
      <c r="D13" s="935"/>
      <c r="E13" s="935"/>
      <c r="F13" s="935"/>
      <c r="G13" s="958"/>
      <c r="H13" s="532"/>
      <c r="J13" s="533"/>
      <c r="K13" s="523"/>
      <c r="L13" s="523"/>
      <c r="M13" s="523"/>
      <c r="N13" s="523"/>
      <c r="O13" s="523"/>
      <c r="P13" s="523"/>
      <c r="Q13" s="523"/>
      <c r="R13" s="523"/>
      <c r="S13" s="523"/>
      <c r="T13" s="523"/>
      <c r="U13" s="523"/>
      <c r="V13" s="523"/>
      <c r="W13" s="523"/>
      <c r="X13" s="523"/>
      <c r="Y13" s="523"/>
      <c r="Z13" s="523"/>
    </row>
    <row r="14" spans="1:26" ht="15.75">
      <c r="A14" s="523"/>
      <c r="B14" s="534"/>
      <c r="C14" s="1040" t="s">
        <v>1197</v>
      </c>
      <c r="D14" s="935"/>
      <c r="E14" s="935"/>
      <c r="F14" s="935"/>
      <c r="G14" s="958"/>
      <c r="H14" s="532">
        <v>0</v>
      </c>
      <c r="J14" s="532"/>
      <c r="K14" s="523"/>
      <c r="L14" s="523"/>
      <c r="M14" s="523"/>
      <c r="N14" s="523"/>
      <c r="O14" s="523"/>
      <c r="P14" s="523"/>
      <c r="Q14" s="523"/>
      <c r="R14" s="523"/>
      <c r="S14" s="523"/>
      <c r="T14" s="523"/>
      <c r="U14" s="523"/>
      <c r="V14" s="523"/>
      <c r="W14" s="523"/>
      <c r="X14" s="523"/>
      <c r="Y14" s="523"/>
      <c r="Z14" s="523"/>
    </row>
    <row r="15" spans="1:26" ht="15.75">
      <c r="A15" s="523"/>
      <c r="B15" s="534"/>
      <c r="C15" s="1040" t="s">
        <v>1198</v>
      </c>
      <c r="D15" s="935"/>
      <c r="E15" s="935"/>
      <c r="F15" s="935"/>
      <c r="G15" s="958"/>
      <c r="H15" s="532">
        <v>0</v>
      </c>
      <c r="J15" s="532"/>
      <c r="K15" s="523"/>
      <c r="L15" s="523"/>
      <c r="M15" s="523"/>
      <c r="N15" s="523"/>
      <c r="O15" s="523"/>
      <c r="P15" s="523"/>
      <c r="Q15" s="523"/>
      <c r="R15" s="523"/>
      <c r="S15" s="523"/>
      <c r="T15" s="523"/>
      <c r="U15" s="523"/>
      <c r="V15" s="523"/>
      <c r="W15" s="523"/>
      <c r="X15" s="523"/>
      <c r="Y15" s="523"/>
      <c r="Z15" s="523"/>
    </row>
    <row r="16" spans="1:26" ht="15.75">
      <c r="A16" s="523"/>
      <c r="B16" s="534"/>
      <c r="C16" s="1040" t="s">
        <v>1199</v>
      </c>
      <c r="D16" s="935"/>
      <c r="E16" s="935"/>
      <c r="F16" s="935"/>
      <c r="G16" s="958"/>
      <c r="H16" s="532">
        <v>0</v>
      </c>
      <c r="J16" s="532"/>
      <c r="K16" s="523"/>
      <c r="L16" s="523"/>
      <c r="M16" s="523"/>
      <c r="N16" s="523"/>
      <c r="O16" s="523"/>
      <c r="P16" s="523"/>
      <c r="Q16" s="523"/>
      <c r="R16" s="523"/>
      <c r="S16" s="523"/>
      <c r="T16" s="523"/>
      <c r="U16" s="523"/>
      <c r="V16" s="523"/>
      <c r="W16" s="523"/>
      <c r="X16" s="523"/>
      <c r="Y16" s="523"/>
      <c r="Z16" s="523"/>
    </row>
    <row r="17" spans="1:26" ht="15.75">
      <c r="A17" s="523"/>
      <c r="B17" s="534"/>
      <c r="C17" s="1044"/>
      <c r="D17" s="935"/>
      <c r="E17" s="935"/>
      <c r="F17" s="935"/>
      <c r="G17" s="958"/>
      <c r="H17" s="532"/>
      <c r="J17" s="532"/>
      <c r="K17" s="523"/>
      <c r="L17" s="523"/>
      <c r="M17" s="523"/>
      <c r="N17" s="523"/>
      <c r="O17" s="523"/>
      <c r="P17" s="523"/>
      <c r="Q17" s="523"/>
      <c r="R17" s="523"/>
      <c r="S17" s="523"/>
      <c r="T17" s="523"/>
      <c r="U17" s="523"/>
      <c r="V17" s="523"/>
      <c r="W17" s="523"/>
      <c r="X17" s="523"/>
      <c r="Y17" s="523"/>
      <c r="Z17" s="523"/>
    </row>
    <row r="18" spans="1:26" ht="15.75">
      <c r="A18" s="523"/>
      <c r="B18" s="534"/>
      <c r="C18" s="1042" t="s">
        <v>1200</v>
      </c>
      <c r="D18" s="935"/>
      <c r="E18" s="935"/>
      <c r="F18" s="935"/>
      <c r="G18" s="958"/>
      <c r="H18" s="535">
        <f>SUM(H14:H17)</f>
        <v>0</v>
      </c>
      <c r="J18" s="536"/>
      <c r="K18" s="523"/>
      <c r="L18" s="523"/>
      <c r="M18" s="523"/>
      <c r="N18" s="523"/>
      <c r="O18" s="523"/>
      <c r="P18" s="523"/>
      <c r="Q18" s="523"/>
      <c r="R18" s="523"/>
      <c r="S18" s="523"/>
      <c r="T18" s="523"/>
      <c r="U18" s="523"/>
      <c r="V18" s="523"/>
      <c r="W18" s="523"/>
      <c r="X18" s="523"/>
      <c r="Y18" s="523"/>
      <c r="Z18" s="523"/>
    </row>
    <row r="19" spans="1:26" ht="15.75">
      <c r="A19" s="523"/>
      <c r="B19" s="534"/>
      <c r="C19" s="1040"/>
      <c r="D19" s="935"/>
      <c r="E19" s="935"/>
      <c r="F19" s="935"/>
      <c r="G19" s="958"/>
      <c r="H19" s="532"/>
      <c r="J19" s="532"/>
      <c r="K19" s="523"/>
      <c r="L19" s="523"/>
      <c r="M19" s="523"/>
      <c r="N19" s="523"/>
      <c r="O19" s="523"/>
      <c r="P19" s="523"/>
      <c r="Q19" s="523"/>
      <c r="R19" s="523"/>
      <c r="S19" s="523"/>
      <c r="T19" s="523"/>
      <c r="U19" s="523"/>
      <c r="V19" s="523"/>
      <c r="W19" s="523"/>
      <c r="X19" s="523"/>
      <c r="Y19" s="523"/>
      <c r="Z19" s="523"/>
    </row>
    <row r="20" spans="1:26" ht="15.75">
      <c r="A20" s="523"/>
      <c r="B20" s="531" t="s">
        <v>1201</v>
      </c>
      <c r="C20" s="1042" t="s">
        <v>1202</v>
      </c>
      <c r="D20" s="935"/>
      <c r="E20" s="935"/>
      <c r="F20" s="935"/>
      <c r="G20" s="958"/>
      <c r="H20" s="535"/>
      <c r="J20" s="532"/>
      <c r="K20" s="523"/>
      <c r="L20" s="523"/>
      <c r="M20" s="523"/>
      <c r="N20" s="523"/>
      <c r="O20" s="523"/>
      <c r="P20" s="523"/>
      <c r="Q20" s="523"/>
      <c r="R20" s="523"/>
      <c r="S20" s="523"/>
      <c r="T20" s="523"/>
      <c r="U20" s="523"/>
      <c r="V20" s="523"/>
      <c r="W20" s="523"/>
      <c r="X20" s="523"/>
      <c r="Y20" s="523"/>
      <c r="Z20" s="523"/>
    </row>
    <row r="21" spans="1:26" ht="15.75" customHeight="1">
      <c r="A21" s="523"/>
      <c r="B21" s="534"/>
      <c r="C21" s="1040" t="s">
        <v>1197</v>
      </c>
      <c r="D21" s="935"/>
      <c r="E21" s="935"/>
      <c r="F21" s="935"/>
      <c r="G21" s="958"/>
      <c r="H21" s="532">
        <v>0</v>
      </c>
      <c r="J21" s="532"/>
      <c r="K21" s="523"/>
      <c r="L21" s="523"/>
      <c r="M21" s="523"/>
      <c r="N21" s="523"/>
      <c r="O21" s="523"/>
      <c r="P21" s="523"/>
      <c r="Q21" s="523"/>
      <c r="R21" s="523"/>
      <c r="S21" s="523"/>
      <c r="T21" s="523"/>
      <c r="U21" s="523"/>
      <c r="V21" s="523"/>
      <c r="W21" s="523"/>
      <c r="X21" s="523"/>
      <c r="Y21" s="523"/>
      <c r="Z21" s="523"/>
    </row>
    <row r="22" spans="1:26" ht="15.75" customHeight="1">
      <c r="A22" s="523"/>
      <c r="B22" s="534"/>
      <c r="C22" s="1040" t="s">
        <v>1198</v>
      </c>
      <c r="D22" s="935"/>
      <c r="E22" s="935"/>
      <c r="F22" s="935"/>
      <c r="G22" s="958"/>
      <c r="H22" s="532">
        <v>0</v>
      </c>
      <c r="J22" s="532"/>
      <c r="K22" s="523"/>
      <c r="L22" s="523"/>
      <c r="M22" s="523"/>
      <c r="N22" s="523"/>
      <c r="O22" s="523"/>
      <c r="P22" s="523"/>
      <c r="Q22" s="523"/>
      <c r="R22" s="523"/>
      <c r="S22" s="523"/>
      <c r="T22" s="523"/>
      <c r="U22" s="523"/>
      <c r="V22" s="523"/>
      <c r="W22" s="523"/>
      <c r="X22" s="523"/>
      <c r="Y22" s="523"/>
      <c r="Z22" s="523"/>
    </row>
    <row r="23" spans="1:26" ht="15.75" customHeight="1">
      <c r="A23" s="523"/>
      <c r="B23" s="534"/>
      <c r="C23" s="1040" t="s">
        <v>1199</v>
      </c>
      <c r="D23" s="935"/>
      <c r="E23" s="935"/>
      <c r="F23" s="935"/>
      <c r="G23" s="958"/>
      <c r="H23" s="532">
        <f>702069+1056105.98</f>
        <v>1758174.98</v>
      </c>
      <c r="J23" s="532"/>
      <c r="K23" s="523"/>
      <c r="L23" s="523"/>
      <c r="M23" s="523"/>
      <c r="N23" s="523"/>
      <c r="O23" s="523"/>
      <c r="P23" s="523"/>
      <c r="Q23" s="523"/>
      <c r="R23" s="523"/>
      <c r="S23" s="523"/>
      <c r="T23" s="523"/>
      <c r="U23" s="523"/>
      <c r="V23" s="523"/>
      <c r="W23" s="523"/>
      <c r="X23" s="523"/>
      <c r="Y23" s="523"/>
      <c r="Z23" s="523"/>
    </row>
    <row r="24" spans="1:26" ht="15.75" customHeight="1">
      <c r="A24" s="523"/>
      <c r="B24" s="534"/>
      <c r="C24" s="1040"/>
      <c r="D24" s="935"/>
      <c r="E24" s="935"/>
      <c r="F24" s="935"/>
      <c r="G24" s="958"/>
      <c r="H24" s="532"/>
      <c r="J24" s="532"/>
      <c r="K24" s="523"/>
      <c r="L24" s="523"/>
      <c r="M24" s="523"/>
      <c r="N24" s="523"/>
      <c r="O24" s="523"/>
      <c r="P24" s="523"/>
      <c r="Q24" s="523"/>
      <c r="R24" s="523"/>
      <c r="S24" s="523"/>
      <c r="T24" s="523"/>
      <c r="U24" s="523"/>
      <c r="V24" s="523"/>
      <c r="W24" s="523"/>
      <c r="X24" s="523"/>
      <c r="Y24" s="523"/>
      <c r="Z24" s="523"/>
    </row>
    <row r="25" spans="1:26" ht="15.75" customHeight="1">
      <c r="A25" s="523"/>
      <c r="B25" s="534"/>
      <c r="C25" s="1042" t="s">
        <v>1203</v>
      </c>
      <c r="D25" s="935"/>
      <c r="E25" s="935"/>
      <c r="F25" s="935"/>
      <c r="G25" s="958"/>
      <c r="H25" s="535">
        <f>SUM(H21:H23)</f>
        <v>1758174.98</v>
      </c>
      <c r="J25" s="532"/>
      <c r="K25" s="523"/>
      <c r="L25" s="523"/>
      <c r="M25" s="523"/>
      <c r="N25" s="523"/>
      <c r="O25" s="523"/>
      <c r="P25" s="523"/>
      <c r="Q25" s="523"/>
      <c r="R25" s="523"/>
      <c r="S25" s="523"/>
      <c r="T25" s="523"/>
      <c r="U25" s="523"/>
      <c r="V25" s="523"/>
      <c r="W25" s="523"/>
      <c r="X25" s="523"/>
      <c r="Y25" s="523"/>
      <c r="Z25" s="523"/>
    </row>
    <row r="26" spans="1:26" ht="15.75" customHeight="1">
      <c r="A26" s="523"/>
      <c r="B26" s="534"/>
      <c r="C26" s="1040"/>
      <c r="D26" s="935"/>
      <c r="E26" s="935"/>
      <c r="F26" s="935"/>
      <c r="G26" s="958"/>
      <c r="H26" s="536"/>
      <c r="J26" s="532"/>
      <c r="K26" s="523"/>
      <c r="L26" s="523"/>
      <c r="M26" s="523"/>
      <c r="N26" s="523"/>
      <c r="O26" s="523"/>
      <c r="P26" s="523"/>
      <c r="Q26" s="523"/>
      <c r="R26" s="523"/>
      <c r="S26" s="523"/>
      <c r="T26" s="523"/>
      <c r="U26" s="523"/>
      <c r="V26" s="523"/>
      <c r="W26" s="523"/>
      <c r="X26" s="523"/>
      <c r="Y26" s="523"/>
      <c r="Z26" s="523"/>
    </row>
    <row r="27" spans="1:26" ht="15.75" customHeight="1">
      <c r="A27" s="523"/>
      <c r="B27" s="531" t="s">
        <v>1204</v>
      </c>
      <c r="C27" s="1042" t="s">
        <v>1205</v>
      </c>
      <c r="D27" s="935"/>
      <c r="E27" s="935"/>
      <c r="F27" s="935"/>
      <c r="G27" s="958"/>
      <c r="H27" s="535">
        <f>H18+H25</f>
        <v>1758174.98</v>
      </c>
      <c r="J27" s="532"/>
      <c r="K27" s="523"/>
      <c r="L27" s="523"/>
      <c r="M27" s="523"/>
      <c r="N27" s="523"/>
      <c r="O27" s="523"/>
      <c r="P27" s="523"/>
      <c r="Q27" s="523"/>
      <c r="R27" s="523"/>
      <c r="S27" s="523"/>
      <c r="T27" s="523"/>
      <c r="U27" s="523"/>
      <c r="V27" s="523"/>
      <c r="W27" s="523"/>
      <c r="X27" s="523"/>
      <c r="Y27" s="523"/>
      <c r="Z27" s="523"/>
    </row>
    <row r="28" spans="1:26" ht="15.75" customHeight="1">
      <c r="A28" s="523"/>
      <c r="B28" s="534"/>
      <c r="C28" s="1040"/>
      <c r="D28" s="935"/>
      <c r="E28" s="935"/>
      <c r="F28" s="935"/>
      <c r="G28" s="958"/>
      <c r="H28" s="536"/>
      <c r="J28" s="532"/>
      <c r="K28" s="523"/>
      <c r="L28" s="523"/>
      <c r="M28" s="523"/>
      <c r="N28" s="523"/>
      <c r="O28" s="523"/>
      <c r="P28" s="523"/>
      <c r="Q28" s="523"/>
      <c r="R28" s="523"/>
      <c r="S28" s="523"/>
      <c r="T28" s="523"/>
      <c r="U28" s="523"/>
      <c r="V28" s="523"/>
      <c r="W28" s="523"/>
      <c r="X28" s="523"/>
      <c r="Y28" s="523"/>
      <c r="Z28" s="523"/>
    </row>
    <row r="29" spans="1:26" ht="15.75" customHeight="1">
      <c r="A29" s="523"/>
      <c r="B29" s="531" t="s">
        <v>1206</v>
      </c>
      <c r="C29" s="1042" t="s">
        <v>1207</v>
      </c>
      <c r="D29" s="935"/>
      <c r="E29" s="935"/>
      <c r="F29" s="935"/>
      <c r="G29" s="958"/>
      <c r="H29" s="532"/>
      <c r="J29" s="532"/>
      <c r="K29" s="523"/>
      <c r="L29" s="523"/>
      <c r="M29" s="523"/>
      <c r="N29" s="523"/>
      <c r="O29" s="523"/>
      <c r="P29" s="523"/>
      <c r="Q29" s="523"/>
      <c r="R29" s="523"/>
      <c r="S29" s="523"/>
      <c r="T29" s="523"/>
      <c r="U29" s="523"/>
      <c r="V29" s="523"/>
      <c r="W29" s="523"/>
      <c r="X29" s="523"/>
      <c r="Y29" s="523"/>
      <c r="Z29" s="523"/>
    </row>
    <row r="30" spans="1:26" ht="15.75" customHeight="1">
      <c r="A30" s="523"/>
      <c r="B30" s="531"/>
      <c r="C30" s="1040" t="s">
        <v>1208</v>
      </c>
      <c r="D30" s="935"/>
      <c r="E30" s="935"/>
      <c r="F30" s="935"/>
      <c r="G30" s="958"/>
      <c r="H30" s="532" t="e">
        <f>'April-June 16'!K112</f>
        <v>#REF!</v>
      </c>
      <c r="J30" s="537"/>
      <c r="K30" s="523"/>
      <c r="L30" s="523"/>
      <c r="M30" s="523"/>
      <c r="N30" s="523"/>
      <c r="O30" s="523"/>
      <c r="P30" s="523"/>
      <c r="Q30" s="523"/>
      <c r="R30" s="523"/>
      <c r="S30" s="523"/>
      <c r="T30" s="523"/>
      <c r="U30" s="523"/>
      <c r="V30" s="523"/>
      <c r="W30" s="523"/>
      <c r="X30" s="523"/>
      <c r="Y30" s="523"/>
      <c r="Z30" s="523"/>
    </row>
    <row r="31" spans="1:26" ht="15.75" customHeight="1">
      <c r="A31" s="523"/>
      <c r="B31" s="531"/>
      <c r="C31" s="1040"/>
      <c r="D31" s="935"/>
      <c r="E31" s="935"/>
      <c r="F31" s="935"/>
      <c r="G31" s="958"/>
      <c r="H31" s="538"/>
      <c r="J31" s="537"/>
      <c r="K31" s="523"/>
      <c r="L31" s="523"/>
      <c r="M31" s="523"/>
      <c r="N31" s="523"/>
      <c r="O31" s="523"/>
      <c r="P31" s="523"/>
      <c r="Q31" s="523"/>
      <c r="R31" s="523"/>
      <c r="S31" s="523"/>
      <c r="T31" s="523"/>
      <c r="U31" s="523"/>
      <c r="V31" s="523"/>
      <c r="W31" s="523"/>
      <c r="X31" s="523"/>
      <c r="Y31" s="523"/>
      <c r="Z31" s="523"/>
    </row>
    <row r="32" spans="1:26" ht="15.75" customHeight="1">
      <c r="A32" s="523"/>
      <c r="B32" s="531"/>
      <c r="C32" s="1042" t="s">
        <v>1209</v>
      </c>
      <c r="D32" s="935"/>
      <c r="E32" s="935"/>
      <c r="F32" s="935"/>
      <c r="G32" s="958"/>
      <c r="H32" s="539" t="e">
        <f>SUM(H30:H31)</f>
        <v>#REF!</v>
      </c>
      <c r="J32" s="537"/>
      <c r="K32" s="523"/>
      <c r="L32" s="523"/>
      <c r="M32" s="523"/>
      <c r="N32" s="523"/>
      <c r="O32" s="523"/>
      <c r="P32" s="523"/>
      <c r="Q32" s="523"/>
      <c r="R32" s="523"/>
      <c r="S32" s="523"/>
      <c r="T32" s="523"/>
      <c r="U32" s="523"/>
      <c r="V32" s="523"/>
      <c r="W32" s="523"/>
      <c r="X32" s="523"/>
      <c r="Y32" s="523"/>
      <c r="Z32" s="523"/>
    </row>
    <row r="33" spans="1:26" ht="15.75" customHeight="1">
      <c r="A33" s="523"/>
      <c r="B33" s="540"/>
      <c r="C33" s="1040"/>
      <c r="D33" s="935"/>
      <c r="E33" s="935"/>
      <c r="F33" s="935"/>
      <c r="G33" s="958"/>
      <c r="H33" s="532"/>
      <c r="J33" s="537"/>
      <c r="K33" s="523"/>
      <c r="L33" s="523"/>
      <c r="M33" s="523"/>
      <c r="N33" s="523"/>
      <c r="O33" s="523"/>
      <c r="P33" s="523"/>
      <c r="Q33" s="523"/>
      <c r="R33" s="523"/>
      <c r="S33" s="523"/>
      <c r="T33" s="523"/>
      <c r="U33" s="523"/>
      <c r="V33" s="523"/>
      <c r="W33" s="523"/>
      <c r="X33" s="523"/>
      <c r="Y33" s="523"/>
      <c r="Z33" s="523"/>
    </row>
    <row r="34" spans="1:26" ht="15.75" customHeight="1">
      <c r="A34" s="523"/>
      <c r="B34" s="541" t="s">
        <v>1210</v>
      </c>
      <c r="C34" s="1043" t="s">
        <v>1211</v>
      </c>
      <c r="D34" s="935"/>
      <c r="E34" s="935"/>
      <c r="F34" s="935"/>
      <c r="G34" s="958"/>
      <c r="H34" s="526" t="e">
        <f>H27-H32</f>
        <v>#REF!</v>
      </c>
      <c r="J34" s="532"/>
      <c r="K34" s="523"/>
      <c r="L34" s="523"/>
      <c r="M34" s="523"/>
      <c r="N34" s="523"/>
      <c r="O34" s="523"/>
      <c r="P34" s="523"/>
      <c r="Q34" s="523"/>
      <c r="R34" s="523"/>
      <c r="S34" s="523"/>
      <c r="T34" s="523"/>
      <c r="U34" s="523"/>
      <c r="V34" s="523"/>
      <c r="W34" s="523"/>
      <c r="X34" s="523"/>
      <c r="Y34" s="523"/>
      <c r="Z34" s="523"/>
    </row>
    <row r="35" spans="1:26" ht="15.75" customHeight="1">
      <c r="A35" s="523"/>
      <c r="B35" s="541"/>
      <c r="C35" s="1042"/>
      <c r="D35" s="935"/>
      <c r="E35" s="935"/>
      <c r="F35" s="935"/>
      <c r="G35" s="958"/>
      <c r="H35" s="537"/>
      <c r="J35" s="532"/>
      <c r="K35" s="523"/>
      <c r="L35" s="523"/>
      <c r="M35" s="523"/>
      <c r="N35" s="523"/>
      <c r="O35" s="523"/>
      <c r="P35" s="523"/>
      <c r="Q35" s="523"/>
      <c r="R35" s="523"/>
      <c r="S35" s="523"/>
      <c r="T35" s="523"/>
      <c r="U35" s="523"/>
      <c r="V35" s="523"/>
      <c r="W35" s="523"/>
      <c r="X35" s="523"/>
      <c r="Y35" s="523"/>
      <c r="Z35" s="523"/>
    </row>
    <row r="36" spans="1:26" ht="15.75" customHeight="1">
      <c r="A36" s="523"/>
      <c r="B36" s="541" t="s">
        <v>1212</v>
      </c>
      <c r="C36" s="542" t="s">
        <v>1213</v>
      </c>
      <c r="D36" s="542"/>
      <c r="E36" s="542"/>
      <c r="F36" s="542"/>
      <c r="G36" s="542"/>
      <c r="H36" s="537"/>
      <c r="J36" s="537"/>
      <c r="K36" s="523"/>
      <c r="L36" s="523"/>
      <c r="M36" s="523"/>
      <c r="N36" s="523"/>
      <c r="O36" s="523"/>
      <c r="P36" s="523"/>
      <c r="Q36" s="523"/>
      <c r="R36" s="523"/>
      <c r="S36" s="523"/>
      <c r="T36" s="523"/>
      <c r="U36" s="523"/>
      <c r="V36" s="523"/>
      <c r="W36" s="523"/>
      <c r="X36" s="523"/>
      <c r="Y36" s="523"/>
      <c r="Z36" s="523"/>
    </row>
    <row r="37" spans="1:26" ht="15.75" customHeight="1">
      <c r="A37" s="523"/>
      <c r="B37" s="543"/>
      <c r="C37" s="1040" t="s">
        <v>1197</v>
      </c>
      <c r="D37" s="935"/>
      <c r="E37" s="935"/>
      <c r="F37" s="935"/>
      <c r="G37" s="958"/>
      <c r="H37" s="532">
        <v>0</v>
      </c>
      <c r="J37" s="537"/>
      <c r="K37" s="523"/>
      <c r="L37" s="523"/>
      <c r="M37" s="523"/>
      <c r="N37" s="523"/>
      <c r="O37" s="523"/>
      <c r="P37" s="523"/>
      <c r="Q37" s="523"/>
      <c r="R37" s="523"/>
      <c r="S37" s="523"/>
      <c r="T37" s="523"/>
      <c r="U37" s="523"/>
      <c r="V37" s="523"/>
      <c r="W37" s="523"/>
      <c r="X37" s="523"/>
      <c r="Y37" s="523"/>
      <c r="Z37" s="523"/>
    </row>
    <row r="38" spans="1:26" ht="15.75" customHeight="1">
      <c r="A38" s="523"/>
      <c r="B38" s="540"/>
      <c r="C38" s="1040" t="s">
        <v>1198</v>
      </c>
      <c r="D38" s="935"/>
      <c r="E38" s="935"/>
      <c r="F38" s="935"/>
      <c r="G38" s="958"/>
      <c r="H38" s="532" t="e">
        <f>'Bank XOF'!#REF!</f>
        <v>#REF!</v>
      </c>
      <c r="J38" s="532" t="e">
        <f>#REF!</f>
        <v>#REF!</v>
      </c>
      <c r="K38" s="523"/>
      <c r="L38" s="523"/>
      <c r="M38" s="523"/>
      <c r="N38" s="523"/>
      <c r="O38" s="523"/>
      <c r="P38" s="523"/>
      <c r="Q38" s="523"/>
      <c r="R38" s="523"/>
      <c r="S38" s="523"/>
      <c r="T38" s="523"/>
      <c r="U38" s="523"/>
      <c r="V38" s="523"/>
      <c r="W38" s="523"/>
      <c r="X38" s="523"/>
      <c r="Y38" s="523"/>
      <c r="Z38" s="523"/>
    </row>
    <row r="39" spans="1:26" ht="15.75" customHeight="1">
      <c r="A39" s="523"/>
      <c r="B39" s="540"/>
      <c r="C39" s="1040" t="s">
        <v>1199</v>
      </c>
      <c r="D39" s="935"/>
      <c r="E39" s="935"/>
      <c r="F39" s="935"/>
      <c r="G39" s="958"/>
      <c r="H39" s="532" t="e">
        <f>#REF!</f>
        <v>#REF!</v>
      </c>
      <c r="J39" s="532"/>
      <c r="K39" s="523"/>
      <c r="L39" s="523"/>
      <c r="M39" s="523"/>
      <c r="N39" s="523"/>
      <c r="O39" s="523"/>
      <c r="P39" s="523"/>
      <c r="Q39" s="523"/>
      <c r="R39" s="523"/>
      <c r="S39" s="523"/>
      <c r="T39" s="523"/>
      <c r="U39" s="523"/>
      <c r="V39" s="523"/>
      <c r="W39" s="523"/>
      <c r="X39" s="523"/>
      <c r="Y39" s="523"/>
      <c r="Z39" s="523"/>
    </row>
    <row r="40" spans="1:26" ht="22.5" customHeight="1">
      <c r="A40" s="523"/>
      <c r="B40" s="544"/>
      <c r="C40" s="545" t="s">
        <v>434</v>
      </c>
      <c r="D40" s="545"/>
      <c r="E40" s="545"/>
      <c r="F40" s="545"/>
      <c r="G40" s="545"/>
      <c r="H40" s="546" t="e">
        <f>SUM(H37:H39)</f>
        <v>#REF!</v>
      </c>
      <c r="J40" s="546"/>
      <c r="K40" s="523"/>
      <c r="L40" s="523"/>
      <c r="M40" s="523"/>
      <c r="N40" s="523"/>
      <c r="O40" s="523"/>
      <c r="P40" s="523"/>
      <c r="Q40" s="523"/>
      <c r="R40" s="523"/>
      <c r="S40" s="523"/>
      <c r="T40" s="523"/>
      <c r="U40" s="523"/>
      <c r="V40" s="523"/>
      <c r="W40" s="523"/>
      <c r="X40" s="523"/>
      <c r="Y40" s="523"/>
      <c r="Z40" s="523"/>
    </row>
    <row r="41" spans="1:26" ht="15.75" hidden="1" customHeight="1">
      <c r="A41" s="523"/>
      <c r="B41" s="540" t="s">
        <v>1214</v>
      </c>
      <c r="C41" s="547" t="s">
        <v>1215</v>
      </c>
      <c r="D41" s="547"/>
      <c r="E41" s="547"/>
      <c r="F41" s="547"/>
      <c r="G41" s="547"/>
      <c r="H41" s="548" t="s">
        <v>1216</v>
      </c>
      <c r="I41" s="523"/>
      <c r="J41" s="533"/>
      <c r="K41" s="523"/>
      <c r="L41" s="523"/>
      <c r="M41" s="523"/>
      <c r="N41" s="523"/>
      <c r="O41" s="523"/>
      <c r="P41" s="523"/>
      <c r="Q41" s="523"/>
      <c r="R41" s="523"/>
      <c r="S41" s="523"/>
      <c r="T41" s="523"/>
      <c r="U41" s="523"/>
      <c r="V41" s="523"/>
      <c r="W41" s="523"/>
      <c r="X41" s="523"/>
      <c r="Y41" s="523"/>
      <c r="Z41" s="523"/>
    </row>
    <row r="42" spans="1:26" ht="15.75" hidden="1" customHeight="1">
      <c r="A42" s="523"/>
      <c r="B42" s="549"/>
      <c r="C42" s="523"/>
      <c r="D42" s="523"/>
      <c r="E42" s="523"/>
      <c r="F42" s="523"/>
      <c r="G42" s="523"/>
      <c r="H42" s="550"/>
      <c r="I42" s="523"/>
      <c r="J42" s="544" t="e">
        <f>SUM(J34:J41)</f>
        <v>#REF!</v>
      </c>
      <c r="K42" s="523"/>
      <c r="L42" s="523"/>
      <c r="M42" s="523"/>
      <c r="N42" s="523"/>
      <c r="O42" s="523"/>
      <c r="P42" s="523"/>
      <c r="Q42" s="523"/>
      <c r="R42" s="523"/>
      <c r="S42" s="523"/>
      <c r="T42" s="523"/>
      <c r="U42" s="523"/>
      <c r="V42" s="523"/>
      <c r="W42" s="523"/>
      <c r="X42" s="523"/>
      <c r="Y42" s="523"/>
      <c r="Z42" s="523"/>
    </row>
    <row r="43" spans="1:26" ht="15.75" hidden="1" customHeight="1">
      <c r="A43" s="523"/>
      <c r="B43" s="540" t="s">
        <v>1214</v>
      </c>
      <c r="C43" s="547" t="s">
        <v>1217</v>
      </c>
      <c r="D43" s="547"/>
      <c r="E43" s="547"/>
      <c r="F43" s="547"/>
      <c r="G43" s="547"/>
      <c r="H43" s="551" t="s">
        <v>1216</v>
      </c>
      <c r="I43" s="523"/>
      <c r="J43" s="523"/>
      <c r="K43" s="523"/>
      <c r="L43" s="523"/>
      <c r="M43" s="523"/>
      <c r="N43" s="523"/>
      <c r="O43" s="523"/>
      <c r="P43" s="523"/>
      <c r="Q43" s="523"/>
      <c r="R43" s="523"/>
      <c r="S43" s="523"/>
      <c r="T43" s="523"/>
      <c r="U43" s="523"/>
      <c r="V43" s="523"/>
      <c r="W43" s="523"/>
      <c r="X43" s="523"/>
      <c r="Y43" s="523"/>
      <c r="Z43" s="523"/>
    </row>
    <row r="44" spans="1:26" ht="15.75" hidden="1" customHeight="1">
      <c r="A44" s="523"/>
      <c r="B44" s="549"/>
      <c r="C44" s="523"/>
      <c r="D44" s="523"/>
      <c r="E44" s="523"/>
      <c r="F44" s="523"/>
      <c r="G44" s="523"/>
      <c r="H44" s="550"/>
      <c r="I44" s="523"/>
      <c r="J44" s="523"/>
      <c r="K44" s="523"/>
      <c r="L44" s="523"/>
      <c r="M44" s="523"/>
      <c r="N44" s="523"/>
      <c r="O44" s="523"/>
      <c r="P44" s="523"/>
      <c r="Q44" s="523"/>
      <c r="R44" s="523"/>
      <c r="S44" s="523"/>
      <c r="T44" s="523"/>
      <c r="U44" s="523"/>
      <c r="V44" s="523"/>
      <c r="W44" s="523"/>
      <c r="X44" s="523"/>
      <c r="Y44" s="523"/>
      <c r="Z44" s="523"/>
    </row>
    <row r="45" spans="1:26" ht="15.75" hidden="1" customHeight="1">
      <c r="A45" s="523"/>
      <c r="B45" s="543" t="s">
        <v>1218</v>
      </c>
      <c r="C45" s="552" t="s">
        <v>1219</v>
      </c>
      <c r="D45" s="552"/>
      <c r="E45" s="552"/>
      <c r="F45" s="552"/>
      <c r="G45" s="552"/>
      <c r="H45" s="551" t="s">
        <v>1216</v>
      </c>
      <c r="I45" s="523"/>
      <c r="J45" s="523"/>
      <c r="K45" s="523"/>
      <c r="L45" s="523"/>
      <c r="M45" s="523"/>
      <c r="N45" s="523"/>
      <c r="O45" s="523"/>
      <c r="P45" s="523"/>
      <c r="Q45" s="523"/>
      <c r="R45" s="523"/>
      <c r="S45" s="523"/>
      <c r="T45" s="523"/>
      <c r="U45" s="523"/>
      <c r="V45" s="523"/>
      <c r="W45" s="523"/>
      <c r="X45" s="523"/>
      <c r="Y45" s="523"/>
      <c r="Z45" s="523"/>
    </row>
    <row r="46" spans="1:26" ht="15.75" hidden="1" customHeight="1">
      <c r="A46" s="523"/>
      <c r="B46" s="540"/>
      <c r="C46" s="547"/>
      <c r="D46" s="547"/>
      <c r="E46" s="547"/>
      <c r="F46" s="547"/>
      <c r="G46" s="547"/>
      <c r="H46" s="533"/>
      <c r="I46" s="523"/>
      <c r="J46" s="523"/>
      <c r="K46" s="523"/>
      <c r="L46" s="523"/>
      <c r="M46" s="523"/>
      <c r="N46" s="523"/>
      <c r="O46" s="523"/>
      <c r="P46" s="523"/>
      <c r="Q46" s="523"/>
      <c r="R46" s="523"/>
      <c r="S46" s="523"/>
      <c r="T46" s="523"/>
      <c r="U46" s="523"/>
      <c r="V46" s="523"/>
      <c r="W46" s="523"/>
      <c r="X46" s="523"/>
      <c r="Y46" s="523"/>
      <c r="Z46" s="523"/>
    </row>
    <row r="47" spans="1:26" ht="15.75" hidden="1" customHeight="1">
      <c r="A47" s="523"/>
      <c r="B47" s="523"/>
      <c r="C47" s="523"/>
      <c r="D47" s="523"/>
      <c r="E47" s="523"/>
      <c r="F47" s="523"/>
      <c r="G47" s="523"/>
      <c r="H47" s="524"/>
      <c r="I47" s="523"/>
      <c r="J47" s="523"/>
      <c r="K47" s="523"/>
      <c r="L47" s="523"/>
      <c r="M47" s="523"/>
      <c r="N47" s="523"/>
      <c r="O47" s="523"/>
      <c r="P47" s="523"/>
      <c r="Q47" s="523"/>
      <c r="R47" s="523"/>
      <c r="S47" s="523"/>
      <c r="T47" s="523"/>
      <c r="U47" s="523"/>
      <c r="V47" s="523"/>
      <c r="W47" s="523"/>
      <c r="X47" s="523"/>
      <c r="Y47" s="523"/>
      <c r="Z47" s="523"/>
    </row>
    <row r="48" spans="1:26" ht="15.75" hidden="1" customHeight="1">
      <c r="A48" s="523"/>
      <c r="B48" s="523"/>
      <c r="C48" s="523"/>
      <c r="D48" s="523"/>
      <c r="E48" s="523"/>
      <c r="F48" s="523"/>
      <c r="G48" s="523"/>
      <c r="H48" s="524"/>
      <c r="I48" s="523"/>
      <c r="J48" s="523"/>
      <c r="K48" s="523"/>
      <c r="L48" s="523"/>
      <c r="M48" s="523"/>
      <c r="N48" s="523"/>
      <c r="O48" s="523"/>
      <c r="P48" s="523"/>
      <c r="Q48" s="523"/>
      <c r="R48" s="523"/>
      <c r="S48" s="523"/>
      <c r="T48" s="523"/>
      <c r="U48" s="523"/>
      <c r="V48" s="523"/>
      <c r="W48" s="523"/>
      <c r="X48" s="523"/>
      <c r="Y48" s="523"/>
      <c r="Z48" s="523"/>
    </row>
    <row r="49" spans="1:26" ht="18" customHeight="1">
      <c r="A49" s="523"/>
      <c r="B49" s="552"/>
      <c r="C49" s="523"/>
      <c r="D49" s="523"/>
      <c r="E49" s="523"/>
      <c r="F49" s="523"/>
      <c r="G49" s="523"/>
      <c r="H49" s="553"/>
      <c r="I49" s="523"/>
      <c r="J49" s="523"/>
      <c r="K49" s="523"/>
      <c r="L49" s="523"/>
      <c r="M49" s="523"/>
      <c r="N49" s="523"/>
      <c r="O49" s="523"/>
      <c r="P49" s="523"/>
      <c r="Q49" s="523"/>
      <c r="R49" s="523"/>
      <c r="S49" s="523"/>
      <c r="T49" s="523"/>
      <c r="U49" s="523"/>
      <c r="V49" s="523"/>
      <c r="W49" s="523"/>
      <c r="X49" s="523"/>
      <c r="Y49" s="523"/>
      <c r="Z49" s="523"/>
    </row>
    <row r="50" spans="1:26" ht="15.75" customHeight="1">
      <c r="A50" s="523"/>
      <c r="B50" s="554"/>
      <c r="C50" s="1041" t="s">
        <v>1220</v>
      </c>
      <c r="D50" s="935"/>
      <c r="E50" s="935"/>
      <c r="F50" s="935"/>
      <c r="G50" s="958"/>
      <c r="H50" s="555" t="e">
        <f>H34-H40</f>
        <v>#REF!</v>
      </c>
      <c r="I50" s="238"/>
      <c r="J50" s="555" t="e">
        <f>H50*655.957</f>
        <v>#REF!</v>
      </c>
      <c r="K50" s="523"/>
      <c r="L50" s="523"/>
      <c r="M50" s="523"/>
      <c r="N50" s="523"/>
      <c r="O50" s="523"/>
      <c r="P50" s="523"/>
      <c r="Q50" s="523"/>
      <c r="R50" s="523"/>
      <c r="S50" s="523"/>
      <c r="T50" s="523"/>
      <c r="U50" s="523"/>
      <c r="V50" s="523"/>
      <c r="W50" s="523"/>
      <c r="X50" s="523"/>
      <c r="Y50" s="523"/>
      <c r="Z50" s="523"/>
    </row>
    <row r="51" spans="1:26" ht="15.75" customHeight="1">
      <c r="A51" s="523"/>
      <c r="B51" s="523"/>
      <c r="C51" s="523"/>
      <c r="D51" s="523"/>
      <c r="E51" s="523"/>
      <c r="F51" s="523"/>
      <c r="G51" s="523"/>
      <c r="H51" s="524"/>
      <c r="I51" s="523"/>
      <c r="J51" s="523"/>
      <c r="K51" s="523"/>
      <c r="L51" s="523"/>
      <c r="M51" s="523"/>
      <c r="N51" s="523"/>
      <c r="O51" s="523"/>
      <c r="P51" s="523"/>
      <c r="Q51" s="523"/>
      <c r="R51" s="523"/>
      <c r="S51" s="523"/>
      <c r="T51" s="523"/>
      <c r="U51" s="523"/>
      <c r="V51" s="523"/>
      <c r="W51" s="523"/>
      <c r="X51" s="523"/>
      <c r="Y51" s="523"/>
      <c r="Z51" s="523"/>
    </row>
    <row r="52" spans="1:26" ht="15.75" customHeight="1">
      <c r="A52" s="523"/>
      <c r="B52" s="523"/>
      <c r="C52" s="523"/>
      <c r="D52" s="523"/>
      <c r="E52" s="523"/>
      <c r="F52" s="523"/>
      <c r="G52" s="523"/>
      <c r="H52" s="524"/>
      <c r="I52" s="523"/>
      <c r="J52" s="523"/>
      <c r="K52" s="523"/>
      <c r="L52" s="523"/>
      <c r="M52" s="523"/>
      <c r="N52" s="523"/>
      <c r="O52" s="523"/>
      <c r="P52" s="523"/>
      <c r="Q52" s="523"/>
      <c r="R52" s="523"/>
      <c r="S52" s="523"/>
      <c r="T52" s="523"/>
      <c r="U52" s="523"/>
      <c r="V52" s="523"/>
      <c r="W52" s="523"/>
      <c r="X52" s="523"/>
      <c r="Y52" s="523"/>
      <c r="Z52" s="523"/>
    </row>
    <row r="53" spans="1:26" ht="15.75" customHeight="1">
      <c r="A53" s="523"/>
      <c r="B53" s="523"/>
      <c r="C53" s="523"/>
      <c r="D53" s="523"/>
      <c r="E53" s="523"/>
      <c r="F53" s="523"/>
      <c r="G53" s="523"/>
      <c r="H53" s="524"/>
      <c r="I53" s="523"/>
      <c r="J53" s="523"/>
      <c r="K53" s="523"/>
      <c r="L53" s="523"/>
      <c r="M53" s="523"/>
      <c r="N53" s="523"/>
      <c r="O53" s="523"/>
      <c r="P53" s="523"/>
      <c r="Q53" s="523"/>
      <c r="R53" s="523"/>
      <c r="S53" s="523"/>
      <c r="T53" s="523"/>
      <c r="U53" s="523"/>
      <c r="V53" s="523"/>
      <c r="W53" s="523"/>
      <c r="X53" s="523"/>
      <c r="Y53" s="523"/>
      <c r="Z53" s="523"/>
    </row>
    <row r="54" spans="1:26" ht="15.75" customHeight="1">
      <c r="A54" s="523"/>
      <c r="B54" s="523"/>
      <c r="C54" s="523"/>
      <c r="D54" s="523"/>
      <c r="E54" s="523"/>
      <c r="F54" s="523"/>
      <c r="G54" s="523"/>
      <c r="H54" s="524"/>
      <c r="I54" s="523"/>
      <c r="J54" s="523"/>
      <c r="K54" s="523"/>
      <c r="L54" s="523"/>
      <c r="M54" s="523"/>
      <c r="N54" s="523"/>
      <c r="O54" s="523"/>
      <c r="P54" s="523"/>
      <c r="Q54" s="523"/>
      <c r="R54" s="523"/>
      <c r="S54" s="523"/>
      <c r="T54" s="523"/>
      <c r="U54" s="523"/>
      <c r="V54" s="523"/>
      <c r="W54" s="523"/>
      <c r="X54" s="523"/>
      <c r="Y54" s="523"/>
      <c r="Z54" s="523"/>
    </row>
    <row r="55" spans="1:26" ht="15.75" customHeight="1">
      <c r="A55" s="523"/>
      <c r="B55" s="523"/>
      <c r="C55" s="523"/>
      <c r="D55" s="523"/>
      <c r="E55" s="523"/>
      <c r="F55" s="523"/>
      <c r="G55" s="523"/>
      <c r="H55" s="524"/>
      <c r="I55" s="523"/>
      <c r="J55" s="523"/>
      <c r="K55" s="523"/>
      <c r="L55" s="523"/>
      <c r="M55" s="523"/>
      <c r="N55" s="523"/>
      <c r="O55" s="523"/>
      <c r="P55" s="523"/>
      <c r="Q55" s="523"/>
      <c r="R55" s="523"/>
      <c r="S55" s="523"/>
      <c r="T55" s="523"/>
      <c r="U55" s="523"/>
      <c r="V55" s="523"/>
      <c r="W55" s="523"/>
      <c r="X55" s="523"/>
      <c r="Y55" s="523"/>
      <c r="Z55" s="523"/>
    </row>
    <row r="56" spans="1:26" ht="15.75" customHeight="1">
      <c r="A56" s="523"/>
      <c r="B56" s="523"/>
      <c r="C56" s="523"/>
      <c r="D56" s="523"/>
      <c r="E56" s="523"/>
      <c r="F56" s="523"/>
      <c r="G56" s="523"/>
      <c r="H56" s="524"/>
      <c r="I56" s="523"/>
      <c r="J56" s="523"/>
      <c r="K56" s="523"/>
      <c r="L56" s="523"/>
      <c r="M56" s="523"/>
      <c r="N56" s="523"/>
      <c r="O56" s="523"/>
      <c r="P56" s="523"/>
      <c r="Q56" s="523"/>
      <c r="R56" s="523"/>
      <c r="S56" s="523"/>
      <c r="T56" s="523"/>
      <c r="U56" s="523"/>
      <c r="V56" s="523"/>
      <c r="W56" s="523"/>
      <c r="X56" s="523"/>
      <c r="Y56" s="523"/>
      <c r="Z56" s="523"/>
    </row>
    <row r="57" spans="1:26" ht="15.75" customHeight="1">
      <c r="A57" s="523"/>
      <c r="B57" s="523"/>
      <c r="C57" s="523"/>
      <c r="D57" s="523"/>
      <c r="E57" s="523"/>
      <c r="F57" s="523"/>
      <c r="G57" s="523"/>
      <c r="H57" s="524"/>
      <c r="I57" s="523"/>
      <c r="J57" s="523"/>
      <c r="K57" s="523"/>
      <c r="L57" s="523"/>
      <c r="M57" s="523"/>
      <c r="N57" s="523"/>
      <c r="O57" s="523"/>
      <c r="P57" s="523"/>
      <c r="Q57" s="523"/>
      <c r="R57" s="523"/>
      <c r="S57" s="523"/>
      <c r="T57" s="523"/>
      <c r="U57" s="523"/>
      <c r="V57" s="523"/>
      <c r="W57" s="523"/>
      <c r="X57" s="523"/>
      <c r="Y57" s="523"/>
      <c r="Z57" s="523"/>
    </row>
    <row r="58" spans="1:26" ht="15.75" customHeight="1">
      <c r="A58" s="523"/>
      <c r="B58" s="523"/>
      <c r="C58" s="523"/>
      <c r="D58" s="523"/>
      <c r="E58" s="523"/>
      <c r="F58" s="523"/>
      <c r="G58" s="523"/>
      <c r="H58" s="524"/>
      <c r="I58" s="523"/>
      <c r="J58" s="523"/>
      <c r="K58" s="523"/>
      <c r="L58" s="523"/>
      <c r="M58" s="523"/>
      <c r="N58" s="523"/>
      <c r="O58" s="523"/>
      <c r="P58" s="523"/>
      <c r="Q58" s="523"/>
      <c r="R58" s="523"/>
      <c r="S58" s="523"/>
      <c r="T58" s="523"/>
      <c r="U58" s="523"/>
      <c r="V58" s="523"/>
      <c r="W58" s="523"/>
      <c r="X58" s="523"/>
      <c r="Y58" s="523"/>
      <c r="Z58" s="523"/>
    </row>
    <row r="59" spans="1:26" ht="15.75" customHeight="1">
      <c r="A59" s="523"/>
      <c r="B59" s="523"/>
      <c r="C59" s="523"/>
      <c r="D59" s="523"/>
      <c r="E59" s="523"/>
      <c r="F59" s="523"/>
      <c r="G59" s="523"/>
      <c r="H59" s="524"/>
      <c r="I59" s="523"/>
      <c r="J59" s="523"/>
      <c r="K59" s="523"/>
      <c r="L59" s="523"/>
      <c r="M59" s="523"/>
      <c r="N59" s="523"/>
      <c r="O59" s="523"/>
      <c r="P59" s="523"/>
      <c r="Q59" s="523"/>
      <c r="R59" s="523"/>
      <c r="S59" s="523"/>
      <c r="T59" s="523"/>
      <c r="U59" s="523"/>
      <c r="V59" s="523"/>
      <c r="W59" s="523"/>
      <c r="X59" s="523"/>
      <c r="Y59" s="523"/>
      <c r="Z59" s="523"/>
    </row>
    <row r="60" spans="1:26" ht="15.75" customHeight="1">
      <c r="A60" s="523"/>
      <c r="B60" s="523"/>
      <c r="C60" s="523"/>
      <c r="D60" s="523"/>
      <c r="E60" s="523"/>
      <c r="F60" s="523"/>
      <c r="G60" s="523"/>
      <c r="H60" s="524"/>
      <c r="I60" s="523"/>
      <c r="J60" s="523"/>
      <c r="K60" s="523"/>
      <c r="L60" s="523"/>
      <c r="M60" s="523"/>
      <c r="N60" s="523"/>
      <c r="O60" s="523"/>
      <c r="P60" s="523"/>
      <c r="Q60" s="523"/>
      <c r="R60" s="523"/>
      <c r="S60" s="523"/>
      <c r="T60" s="523"/>
      <c r="U60" s="523"/>
      <c r="V60" s="523"/>
      <c r="W60" s="523"/>
      <c r="X60" s="523"/>
      <c r="Y60" s="523"/>
      <c r="Z60" s="523"/>
    </row>
    <row r="61" spans="1:26" ht="15.75" customHeight="1">
      <c r="A61" s="523"/>
      <c r="B61" s="523"/>
      <c r="C61" s="523"/>
      <c r="D61" s="523"/>
      <c r="E61" s="523"/>
      <c r="F61" s="523"/>
      <c r="G61" s="523"/>
      <c r="H61" s="524"/>
      <c r="I61" s="523"/>
      <c r="J61" s="523"/>
      <c r="K61" s="523"/>
      <c r="L61" s="523"/>
      <c r="M61" s="523"/>
      <c r="N61" s="523"/>
      <c r="O61" s="523"/>
      <c r="P61" s="523"/>
      <c r="Q61" s="523"/>
      <c r="R61" s="523"/>
      <c r="S61" s="523"/>
      <c r="T61" s="523"/>
      <c r="U61" s="523"/>
      <c r="V61" s="523"/>
      <c r="W61" s="523"/>
      <c r="X61" s="523"/>
      <c r="Y61" s="523"/>
      <c r="Z61" s="523"/>
    </row>
    <row r="62" spans="1:26" ht="15.75" customHeight="1">
      <c r="A62" s="523"/>
      <c r="B62" s="523"/>
      <c r="C62" s="523"/>
      <c r="D62" s="523"/>
      <c r="E62" s="523"/>
      <c r="F62" s="523"/>
      <c r="G62" s="523"/>
      <c r="H62" s="524"/>
      <c r="I62" s="523"/>
      <c r="J62" s="523"/>
      <c r="K62" s="523"/>
      <c r="L62" s="523"/>
      <c r="M62" s="523"/>
      <c r="N62" s="523"/>
      <c r="O62" s="523"/>
      <c r="P62" s="523"/>
      <c r="Q62" s="523"/>
      <c r="R62" s="523"/>
      <c r="S62" s="523"/>
      <c r="T62" s="523"/>
      <c r="U62" s="523"/>
      <c r="V62" s="523"/>
      <c r="W62" s="523"/>
      <c r="X62" s="523"/>
      <c r="Y62" s="523"/>
      <c r="Z62" s="523"/>
    </row>
    <row r="63" spans="1:26" ht="15.75" customHeight="1">
      <c r="A63" s="523"/>
      <c r="B63" s="523"/>
      <c r="C63" s="523"/>
      <c r="D63" s="523"/>
      <c r="E63" s="523"/>
      <c r="F63" s="523"/>
      <c r="G63" s="523"/>
      <c r="H63" s="524"/>
      <c r="I63" s="523"/>
      <c r="J63" s="523"/>
      <c r="K63" s="523"/>
      <c r="L63" s="523"/>
      <c r="M63" s="523"/>
      <c r="N63" s="523"/>
      <c r="O63" s="523"/>
      <c r="P63" s="523"/>
      <c r="Q63" s="523"/>
      <c r="R63" s="523"/>
      <c r="S63" s="523"/>
      <c r="T63" s="523"/>
      <c r="U63" s="523"/>
      <c r="V63" s="523"/>
      <c r="W63" s="523"/>
      <c r="X63" s="523"/>
      <c r="Y63" s="523"/>
      <c r="Z63" s="523"/>
    </row>
    <row r="64" spans="1:26" ht="15.75" customHeight="1">
      <c r="A64" s="523"/>
      <c r="B64" s="523"/>
      <c r="C64" s="523"/>
      <c r="D64" s="523"/>
      <c r="E64" s="523"/>
      <c r="F64" s="523"/>
      <c r="G64" s="523"/>
      <c r="H64" s="524"/>
      <c r="I64" s="523"/>
      <c r="J64" s="523"/>
      <c r="K64" s="523"/>
      <c r="L64" s="523"/>
      <c r="M64" s="523"/>
      <c r="N64" s="523"/>
      <c r="O64" s="523"/>
      <c r="P64" s="523"/>
      <c r="Q64" s="523"/>
      <c r="R64" s="523"/>
      <c r="S64" s="523"/>
      <c r="T64" s="523"/>
      <c r="U64" s="523"/>
      <c r="V64" s="523"/>
      <c r="W64" s="523"/>
      <c r="X64" s="523"/>
      <c r="Y64" s="523"/>
      <c r="Z64" s="523"/>
    </row>
    <row r="65" spans="1:26" ht="15.75" customHeight="1">
      <c r="A65" s="523"/>
      <c r="B65" s="523"/>
      <c r="C65" s="523"/>
      <c r="D65" s="523"/>
      <c r="E65" s="523"/>
      <c r="F65" s="523"/>
      <c r="G65" s="523"/>
      <c r="H65" s="524"/>
      <c r="I65" s="523"/>
      <c r="J65" s="523"/>
      <c r="K65" s="523"/>
      <c r="L65" s="523"/>
      <c r="M65" s="523"/>
      <c r="N65" s="523"/>
      <c r="O65" s="523"/>
      <c r="P65" s="523"/>
      <c r="Q65" s="523"/>
      <c r="R65" s="523"/>
      <c r="S65" s="523"/>
      <c r="T65" s="523"/>
      <c r="U65" s="523"/>
      <c r="V65" s="523"/>
      <c r="W65" s="523"/>
      <c r="X65" s="523"/>
      <c r="Y65" s="523"/>
      <c r="Z65" s="523"/>
    </row>
    <row r="66" spans="1:26" ht="15.75" customHeight="1">
      <c r="A66" s="523"/>
      <c r="B66" s="523"/>
      <c r="C66" s="523"/>
      <c r="D66" s="523"/>
      <c r="E66" s="523"/>
      <c r="F66" s="523"/>
      <c r="G66" s="523"/>
      <c r="H66" s="524"/>
      <c r="I66" s="523"/>
      <c r="J66" s="523"/>
      <c r="K66" s="523"/>
      <c r="L66" s="523"/>
      <c r="M66" s="523"/>
      <c r="N66" s="523"/>
      <c r="O66" s="523"/>
      <c r="P66" s="523"/>
      <c r="Q66" s="523"/>
      <c r="R66" s="523"/>
      <c r="S66" s="523"/>
      <c r="T66" s="523"/>
      <c r="U66" s="523"/>
      <c r="V66" s="523"/>
      <c r="W66" s="523"/>
      <c r="X66" s="523"/>
      <c r="Y66" s="523"/>
      <c r="Z66" s="523"/>
    </row>
    <row r="67" spans="1:26" ht="15.75" customHeight="1">
      <c r="A67" s="523"/>
      <c r="B67" s="523"/>
      <c r="C67" s="523"/>
      <c r="D67" s="523"/>
      <c r="E67" s="523"/>
      <c r="F67" s="523"/>
      <c r="G67" s="523"/>
      <c r="H67" s="524"/>
      <c r="I67" s="523"/>
      <c r="J67" s="523"/>
      <c r="K67" s="523"/>
      <c r="L67" s="523"/>
      <c r="M67" s="523"/>
      <c r="N67" s="523"/>
      <c r="O67" s="523"/>
      <c r="P67" s="523"/>
      <c r="Q67" s="523"/>
      <c r="R67" s="523"/>
      <c r="S67" s="523"/>
      <c r="T67" s="523"/>
      <c r="U67" s="523"/>
      <c r="V67" s="523"/>
      <c r="W67" s="523"/>
      <c r="X67" s="523"/>
      <c r="Y67" s="523"/>
      <c r="Z67" s="523"/>
    </row>
    <row r="68" spans="1:26" ht="15.75" customHeight="1">
      <c r="A68" s="523"/>
      <c r="B68" s="523"/>
      <c r="C68" s="523"/>
      <c r="D68" s="523"/>
      <c r="E68" s="523"/>
      <c r="F68" s="523"/>
      <c r="G68" s="523"/>
      <c r="H68" s="524"/>
      <c r="I68" s="523"/>
      <c r="J68" s="523"/>
      <c r="K68" s="523"/>
      <c r="L68" s="523"/>
      <c r="M68" s="523"/>
      <c r="N68" s="523"/>
      <c r="O68" s="523"/>
      <c r="P68" s="523"/>
      <c r="Q68" s="523"/>
      <c r="R68" s="523"/>
      <c r="S68" s="523"/>
      <c r="T68" s="523"/>
      <c r="U68" s="523"/>
      <c r="V68" s="523"/>
      <c r="W68" s="523"/>
      <c r="X68" s="523"/>
      <c r="Y68" s="523"/>
      <c r="Z68" s="523"/>
    </row>
    <row r="69" spans="1:26" ht="15.75" customHeight="1">
      <c r="A69" s="523"/>
      <c r="B69" s="523"/>
      <c r="C69" s="523"/>
      <c r="D69" s="523"/>
      <c r="E69" s="523"/>
      <c r="F69" s="523"/>
      <c r="G69" s="523"/>
      <c r="H69" s="524"/>
      <c r="I69" s="523"/>
      <c r="J69" s="523"/>
      <c r="K69" s="523"/>
      <c r="L69" s="523"/>
      <c r="M69" s="523"/>
      <c r="N69" s="523"/>
      <c r="O69" s="523"/>
      <c r="P69" s="523"/>
      <c r="Q69" s="523"/>
      <c r="R69" s="523"/>
      <c r="S69" s="523"/>
      <c r="T69" s="523"/>
      <c r="U69" s="523"/>
      <c r="V69" s="523"/>
      <c r="W69" s="523"/>
      <c r="X69" s="523"/>
      <c r="Y69" s="523"/>
      <c r="Z69" s="523"/>
    </row>
    <row r="70" spans="1:26" ht="15.75" customHeight="1">
      <c r="A70" s="523"/>
      <c r="B70" s="523"/>
      <c r="C70" s="523"/>
      <c r="D70" s="523"/>
      <c r="E70" s="523"/>
      <c r="F70" s="523"/>
      <c r="G70" s="523"/>
      <c r="H70" s="524"/>
      <c r="I70" s="523"/>
      <c r="J70" s="523"/>
      <c r="K70" s="523"/>
      <c r="L70" s="523"/>
      <c r="M70" s="523"/>
      <c r="N70" s="523"/>
      <c r="O70" s="523"/>
      <c r="P70" s="523"/>
      <c r="Q70" s="523"/>
      <c r="R70" s="523"/>
      <c r="S70" s="523"/>
      <c r="T70" s="523"/>
      <c r="U70" s="523"/>
      <c r="V70" s="523"/>
      <c r="W70" s="523"/>
      <c r="X70" s="523"/>
      <c r="Y70" s="523"/>
      <c r="Z70" s="523"/>
    </row>
    <row r="71" spans="1:26" ht="15.75" customHeight="1">
      <c r="A71" s="523"/>
      <c r="B71" s="523"/>
      <c r="C71" s="523"/>
      <c r="D71" s="523"/>
      <c r="E71" s="523"/>
      <c r="F71" s="523"/>
      <c r="G71" s="523"/>
      <c r="H71" s="524"/>
      <c r="I71" s="523"/>
      <c r="J71" s="523"/>
      <c r="K71" s="523"/>
      <c r="L71" s="523"/>
      <c r="M71" s="523"/>
      <c r="N71" s="523"/>
      <c r="O71" s="523"/>
      <c r="P71" s="523"/>
      <c r="Q71" s="523"/>
      <c r="R71" s="523"/>
      <c r="S71" s="523"/>
      <c r="T71" s="523"/>
      <c r="U71" s="523"/>
      <c r="V71" s="523"/>
      <c r="W71" s="523"/>
      <c r="X71" s="523"/>
      <c r="Y71" s="523"/>
      <c r="Z71" s="523"/>
    </row>
    <row r="72" spans="1:26" ht="15.75" customHeight="1">
      <c r="A72" s="523"/>
      <c r="B72" s="523"/>
      <c r="C72" s="523"/>
      <c r="D72" s="523"/>
      <c r="E72" s="523"/>
      <c r="F72" s="523"/>
      <c r="G72" s="523"/>
      <c r="H72" s="524"/>
      <c r="I72" s="523"/>
      <c r="J72" s="523"/>
      <c r="K72" s="523"/>
      <c r="L72" s="523"/>
      <c r="M72" s="523"/>
      <c r="N72" s="523"/>
      <c r="O72" s="523"/>
      <c r="P72" s="523"/>
      <c r="Q72" s="523"/>
      <c r="R72" s="523"/>
      <c r="S72" s="523"/>
      <c r="T72" s="523"/>
      <c r="U72" s="523"/>
      <c r="V72" s="523"/>
      <c r="W72" s="523"/>
      <c r="X72" s="523"/>
      <c r="Y72" s="523"/>
      <c r="Z72" s="523"/>
    </row>
    <row r="73" spans="1:26" ht="15.75" customHeight="1">
      <c r="A73" s="523"/>
      <c r="B73" s="523"/>
      <c r="C73" s="523"/>
      <c r="D73" s="523"/>
      <c r="E73" s="523"/>
      <c r="F73" s="523"/>
      <c r="G73" s="523"/>
      <c r="H73" s="524"/>
      <c r="I73" s="523"/>
      <c r="J73" s="523"/>
      <c r="K73" s="523"/>
      <c r="L73" s="523"/>
      <c r="M73" s="523"/>
      <c r="N73" s="523"/>
      <c r="O73" s="523"/>
      <c r="P73" s="523"/>
      <c r="Q73" s="523"/>
      <c r="R73" s="523"/>
      <c r="S73" s="523"/>
      <c r="T73" s="523"/>
      <c r="U73" s="523"/>
      <c r="V73" s="523"/>
      <c r="W73" s="523"/>
      <c r="X73" s="523"/>
      <c r="Y73" s="523"/>
      <c r="Z73" s="523"/>
    </row>
    <row r="74" spans="1:26" ht="15.75" customHeight="1">
      <c r="A74" s="523"/>
      <c r="B74" s="523"/>
      <c r="C74" s="523"/>
      <c r="D74" s="523"/>
      <c r="E74" s="523"/>
      <c r="F74" s="523"/>
      <c r="G74" s="523"/>
      <c r="H74" s="524"/>
      <c r="I74" s="523"/>
      <c r="J74" s="523"/>
      <c r="K74" s="523"/>
      <c r="L74" s="523"/>
      <c r="M74" s="523"/>
      <c r="N74" s="523"/>
      <c r="O74" s="523"/>
      <c r="P74" s="523"/>
      <c r="Q74" s="523"/>
      <c r="R74" s="523"/>
      <c r="S74" s="523"/>
      <c r="T74" s="523"/>
      <c r="U74" s="523"/>
      <c r="V74" s="523"/>
      <c r="W74" s="523"/>
      <c r="X74" s="523"/>
      <c r="Y74" s="523"/>
      <c r="Z74" s="523"/>
    </row>
    <row r="75" spans="1:26" ht="15.75" customHeight="1">
      <c r="A75" s="523"/>
      <c r="B75" s="523"/>
      <c r="C75" s="523"/>
      <c r="D75" s="523"/>
      <c r="E75" s="523"/>
      <c r="F75" s="523"/>
      <c r="G75" s="523"/>
      <c r="H75" s="524"/>
      <c r="I75" s="523"/>
      <c r="J75" s="523"/>
      <c r="K75" s="523"/>
      <c r="L75" s="523"/>
      <c r="M75" s="523"/>
      <c r="N75" s="523"/>
      <c r="O75" s="523"/>
      <c r="P75" s="523"/>
      <c r="Q75" s="523"/>
      <c r="R75" s="523"/>
      <c r="S75" s="523"/>
      <c r="T75" s="523"/>
      <c r="U75" s="523"/>
      <c r="V75" s="523"/>
      <c r="W75" s="523"/>
      <c r="X75" s="523"/>
      <c r="Y75" s="523"/>
      <c r="Z75" s="523"/>
    </row>
    <row r="76" spans="1:26" ht="15.75" customHeight="1">
      <c r="A76" s="523"/>
      <c r="B76" s="523"/>
      <c r="C76" s="523"/>
      <c r="D76" s="523"/>
      <c r="E76" s="523"/>
      <c r="F76" s="523"/>
      <c r="G76" s="523"/>
      <c r="H76" s="524"/>
      <c r="I76" s="523"/>
      <c r="J76" s="523"/>
      <c r="K76" s="523"/>
      <c r="L76" s="523"/>
      <c r="M76" s="523"/>
      <c r="N76" s="523"/>
      <c r="O76" s="523"/>
      <c r="P76" s="523"/>
      <c r="Q76" s="523"/>
      <c r="R76" s="523"/>
      <c r="S76" s="523"/>
      <c r="T76" s="523"/>
      <c r="U76" s="523"/>
      <c r="V76" s="523"/>
      <c r="W76" s="523"/>
      <c r="X76" s="523"/>
      <c r="Y76" s="523"/>
      <c r="Z76" s="523"/>
    </row>
    <row r="77" spans="1:26" ht="15.75" customHeight="1">
      <c r="A77" s="523"/>
      <c r="B77" s="523"/>
      <c r="C77" s="523"/>
      <c r="D77" s="523"/>
      <c r="E77" s="523"/>
      <c r="F77" s="523"/>
      <c r="G77" s="523"/>
      <c r="H77" s="524"/>
      <c r="I77" s="523"/>
      <c r="J77" s="523"/>
      <c r="K77" s="523"/>
      <c r="L77" s="523"/>
      <c r="M77" s="523"/>
      <c r="N77" s="523"/>
      <c r="O77" s="523"/>
      <c r="P77" s="523"/>
      <c r="Q77" s="523"/>
      <c r="R77" s="523"/>
      <c r="S77" s="523"/>
      <c r="T77" s="523"/>
      <c r="U77" s="523"/>
      <c r="V77" s="523"/>
      <c r="W77" s="523"/>
      <c r="X77" s="523"/>
      <c r="Y77" s="523"/>
      <c r="Z77" s="523"/>
    </row>
    <row r="78" spans="1:26" ht="15.75" customHeight="1">
      <c r="A78" s="523"/>
      <c r="B78" s="523"/>
      <c r="C78" s="523"/>
      <c r="D78" s="523"/>
      <c r="E78" s="523"/>
      <c r="F78" s="523"/>
      <c r="G78" s="523"/>
      <c r="H78" s="524"/>
      <c r="I78" s="523"/>
      <c r="J78" s="523"/>
      <c r="K78" s="523"/>
      <c r="L78" s="523"/>
      <c r="M78" s="523"/>
      <c r="N78" s="523"/>
      <c r="O78" s="523"/>
      <c r="P78" s="523"/>
      <c r="Q78" s="523"/>
      <c r="R78" s="523"/>
      <c r="S78" s="523"/>
      <c r="T78" s="523"/>
      <c r="U78" s="523"/>
      <c r="V78" s="523"/>
      <c r="W78" s="523"/>
      <c r="X78" s="523"/>
      <c r="Y78" s="523"/>
      <c r="Z78" s="523"/>
    </row>
    <row r="79" spans="1:26" ht="15.75" customHeight="1">
      <c r="A79" s="523"/>
      <c r="B79" s="523"/>
      <c r="C79" s="523"/>
      <c r="D79" s="523"/>
      <c r="E79" s="523"/>
      <c r="F79" s="523"/>
      <c r="G79" s="523"/>
      <c r="H79" s="524"/>
      <c r="I79" s="523"/>
      <c r="J79" s="523"/>
      <c r="K79" s="523"/>
      <c r="L79" s="523"/>
      <c r="M79" s="523"/>
      <c r="N79" s="523"/>
      <c r="O79" s="523"/>
      <c r="P79" s="523"/>
      <c r="Q79" s="523"/>
      <c r="R79" s="523"/>
      <c r="S79" s="523"/>
      <c r="T79" s="523"/>
      <c r="U79" s="523"/>
      <c r="V79" s="523"/>
      <c r="W79" s="523"/>
      <c r="X79" s="523"/>
      <c r="Y79" s="523"/>
      <c r="Z79" s="523"/>
    </row>
    <row r="80" spans="1:26" ht="15.75" customHeight="1">
      <c r="A80" s="523"/>
      <c r="B80" s="523"/>
      <c r="C80" s="523"/>
      <c r="D80" s="523"/>
      <c r="E80" s="523"/>
      <c r="F80" s="523"/>
      <c r="G80" s="523"/>
      <c r="H80" s="524"/>
      <c r="I80" s="523"/>
      <c r="J80" s="523"/>
      <c r="K80" s="523"/>
      <c r="L80" s="523"/>
      <c r="M80" s="523"/>
      <c r="N80" s="523"/>
      <c r="O80" s="523"/>
      <c r="P80" s="523"/>
      <c r="Q80" s="523"/>
      <c r="R80" s="523"/>
      <c r="S80" s="523"/>
      <c r="T80" s="523"/>
      <c r="U80" s="523"/>
      <c r="V80" s="523"/>
      <c r="W80" s="523"/>
      <c r="X80" s="523"/>
      <c r="Y80" s="523"/>
      <c r="Z80" s="523"/>
    </row>
    <row r="81" spans="1:26" ht="15.75" customHeight="1">
      <c r="A81" s="523"/>
      <c r="B81" s="523"/>
      <c r="C81" s="523"/>
      <c r="D81" s="523"/>
      <c r="E81" s="523"/>
      <c r="F81" s="523"/>
      <c r="G81" s="523"/>
      <c r="H81" s="524"/>
      <c r="I81" s="523"/>
      <c r="J81" s="523"/>
      <c r="K81" s="523"/>
      <c r="L81" s="523"/>
      <c r="M81" s="523"/>
      <c r="N81" s="523"/>
      <c r="O81" s="523"/>
      <c r="P81" s="523"/>
      <c r="Q81" s="523"/>
      <c r="R81" s="523"/>
      <c r="S81" s="523"/>
      <c r="T81" s="523"/>
      <c r="U81" s="523"/>
      <c r="V81" s="523"/>
      <c r="W81" s="523"/>
      <c r="X81" s="523"/>
      <c r="Y81" s="523"/>
      <c r="Z81" s="523"/>
    </row>
    <row r="82" spans="1:26" ht="15.75" customHeight="1">
      <c r="A82" s="523"/>
      <c r="B82" s="523"/>
      <c r="C82" s="523"/>
      <c r="D82" s="523"/>
      <c r="E82" s="523"/>
      <c r="F82" s="523"/>
      <c r="G82" s="523"/>
      <c r="H82" s="524"/>
      <c r="I82" s="523"/>
      <c r="J82" s="523"/>
      <c r="K82" s="523"/>
      <c r="L82" s="523"/>
      <c r="M82" s="523"/>
      <c r="N82" s="523"/>
      <c r="O82" s="523"/>
      <c r="P82" s="523"/>
      <c r="Q82" s="523"/>
      <c r="R82" s="523"/>
      <c r="S82" s="523"/>
      <c r="T82" s="523"/>
      <c r="U82" s="523"/>
      <c r="V82" s="523"/>
      <c r="W82" s="523"/>
      <c r="X82" s="523"/>
      <c r="Y82" s="523"/>
      <c r="Z82" s="523"/>
    </row>
    <row r="83" spans="1:26" ht="15.75" customHeight="1">
      <c r="A83" s="523"/>
      <c r="B83" s="523"/>
      <c r="C83" s="523"/>
      <c r="D83" s="523"/>
      <c r="E83" s="523"/>
      <c r="F83" s="523"/>
      <c r="G83" s="523"/>
      <c r="H83" s="524"/>
      <c r="I83" s="523"/>
      <c r="J83" s="523"/>
      <c r="K83" s="523"/>
      <c r="L83" s="523"/>
      <c r="M83" s="523"/>
      <c r="N83" s="523"/>
      <c r="O83" s="523"/>
      <c r="P83" s="523"/>
      <c r="Q83" s="523"/>
      <c r="R83" s="523"/>
      <c r="S83" s="523"/>
      <c r="T83" s="523"/>
      <c r="U83" s="523"/>
      <c r="V83" s="523"/>
      <c r="W83" s="523"/>
      <c r="X83" s="523"/>
      <c r="Y83" s="523"/>
      <c r="Z83" s="523"/>
    </row>
    <row r="84" spans="1:26" ht="15.75" customHeight="1">
      <c r="A84" s="523"/>
      <c r="B84" s="523"/>
      <c r="C84" s="523"/>
      <c r="D84" s="523"/>
      <c r="E84" s="523"/>
      <c r="F84" s="523"/>
      <c r="G84" s="523"/>
      <c r="H84" s="524"/>
      <c r="I84" s="523"/>
      <c r="J84" s="523"/>
      <c r="K84" s="523"/>
      <c r="L84" s="523"/>
      <c r="M84" s="523"/>
      <c r="N84" s="523"/>
      <c r="O84" s="523"/>
      <c r="P84" s="523"/>
      <c r="Q84" s="523"/>
      <c r="R84" s="523"/>
      <c r="S84" s="523"/>
      <c r="T84" s="523"/>
      <c r="U84" s="523"/>
      <c r="V84" s="523"/>
      <c r="W84" s="523"/>
      <c r="X84" s="523"/>
      <c r="Y84" s="523"/>
      <c r="Z84" s="523"/>
    </row>
    <row r="85" spans="1:26" ht="15.75" customHeight="1">
      <c r="A85" s="523"/>
      <c r="B85" s="523"/>
      <c r="C85" s="523"/>
      <c r="D85" s="523"/>
      <c r="E85" s="523"/>
      <c r="F85" s="523"/>
      <c r="G85" s="523"/>
      <c r="H85" s="524"/>
      <c r="I85" s="523"/>
      <c r="J85" s="523"/>
      <c r="K85" s="523"/>
      <c r="L85" s="523"/>
      <c r="M85" s="523"/>
      <c r="N85" s="523"/>
      <c r="O85" s="523"/>
      <c r="P85" s="523"/>
      <c r="Q85" s="523"/>
      <c r="R85" s="523"/>
      <c r="S85" s="523"/>
      <c r="T85" s="523"/>
      <c r="U85" s="523"/>
      <c r="V85" s="523"/>
      <c r="W85" s="523"/>
      <c r="X85" s="523"/>
      <c r="Y85" s="523"/>
      <c r="Z85" s="523"/>
    </row>
    <row r="86" spans="1:26" ht="15.75" customHeight="1">
      <c r="A86" s="523"/>
      <c r="B86" s="523"/>
      <c r="C86" s="523"/>
      <c r="D86" s="523"/>
      <c r="E86" s="523"/>
      <c r="F86" s="523"/>
      <c r="G86" s="523"/>
      <c r="H86" s="524"/>
      <c r="I86" s="523"/>
      <c r="J86" s="523"/>
      <c r="K86" s="523"/>
      <c r="L86" s="523"/>
      <c r="M86" s="523"/>
      <c r="N86" s="523"/>
      <c r="O86" s="523"/>
      <c r="P86" s="523"/>
      <c r="Q86" s="523"/>
      <c r="R86" s="523"/>
      <c r="S86" s="523"/>
      <c r="T86" s="523"/>
      <c r="U86" s="523"/>
      <c r="V86" s="523"/>
      <c r="W86" s="523"/>
      <c r="X86" s="523"/>
      <c r="Y86" s="523"/>
      <c r="Z86" s="523"/>
    </row>
    <row r="87" spans="1:26" ht="15.75" customHeight="1">
      <c r="A87" s="523"/>
      <c r="B87" s="523"/>
      <c r="C87" s="523"/>
      <c r="D87" s="523"/>
      <c r="E87" s="523"/>
      <c r="F87" s="523"/>
      <c r="G87" s="523"/>
      <c r="H87" s="524"/>
      <c r="I87" s="523"/>
      <c r="J87" s="523"/>
      <c r="K87" s="523"/>
      <c r="L87" s="523"/>
      <c r="M87" s="523"/>
      <c r="N87" s="523"/>
      <c r="O87" s="523"/>
      <c r="P87" s="523"/>
      <c r="Q87" s="523"/>
      <c r="R87" s="523"/>
      <c r="S87" s="523"/>
      <c r="T87" s="523"/>
      <c r="U87" s="523"/>
      <c r="V87" s="523"/>
      <c r="W87" s="523"/>
      <c r="X87" s="523"/>
      <c r="Y87" s="523"/>
      <c r="Z87" s="523"/>
    </row>
    <row r="88" spans="1:26" ht="15.75" customHeight="1">
      <c r="A88" s="523"/>
      <c r="B88" s="523"/>
      <c r="C88" s="523"/>
      <c r="D88" s="523"/>
      <c r="E88" s="523"/>
      <c r="F88" s="523"/>
      <c r="G88" s="523"/>
      <c r="H88" s="524"/>
      <c r="I88" s="523"/>
      <c r="J88" s="523"/>
      <c r="K88" s="523"/>
      <c r="L88" s="523"/>
      <c r="M88" s="523"/>
      <c r="N88" s="523"/>
      <c r="O88" s="523"/>
      <c r="P88" s="523"/>
      <c r="Q88" s="523"/>
      <c r="R88" s="523"/>
      <c r="S88" s="523"/>
      <c r="T88" s="523"/>
      <c r="U88" s="523"/>
      <c r="V88" s="523"/>
      <c r="W88" s="523"/>
      <c r="X88" s="523"/>
      <c r="Y88" s="523"/>
      <c r="Z88" s="523"/>
    </row>
    <row r="89" spans="1:26" ht="15.75" customHeight="1">
      <c r="A89" s="523"/>
      <c r="B89" s="523"/>
      <c r="C89" s="523"/>
      <c r="D89" s="523"/>
      <c r="E89" s="523"/>
      <c r="F89" s="523"/>
      <c r="G89" s="523"/>
      <c r="H89" s="524"/>
      <c r="I89" s="523"/>
      <c r="J89" s="523"/>
      <c r="K89" s="523"/>
      <c r="L89" s="523"/>
      <c r="M89" s="523"/>
      <c r="N89" s="523"/>
      <c r="O89" s="523"/>
      <c r="P89" s="523"/>
      <c r="Q89" s="523"/>
      <c r="R89" s="523"/>
      <c r="S89" s="523"/>
      <c r="T89" s="523"/>
      <c r="U89" s="523"/>
      <c r="V89" s="523"/>
      <c r="W89" s="523"/>
      <c r="X89" s="523"/>
      <c r="Y89" s="523"/>
      <c r="Z89" s="523"/>
    </row>
    <row r="90" spans="1:26" ht="15.75" customHeight="1">
      <c r="A90" s="523"/>
      <c r="B90" s="523"/>
      <c r="C90" s="523"/>
      <c r="D90" s="523"/>
      <c r="E90" s="523"/>
      <c r="F90" s="523"/>
      <c r="G90" s="523"/>
      <c r="H90" s="524"/>
      <c r="I90" s="523"/>
      <c r="J90" s="523"/>
      <c r="K90" s="523"/>
      <c r="L90" s="523"/>
      <c r="M90" s="523"/>
      <c r="N90" s="523"/>
      <c r="O90" s="523"/>
      <c r="P90" s="523"/>
      <c r="Q90" s="523"/>
      <c r="R90" s="523"/>
      <c r="S90" s="523"/>
      <c r="T90" s="523"/>
      <c r="U90" s="523"/>
      <c r="V90" s="523"/>
      <c r="W90" s="523"/>
      <c r="X90" s="523"/>
      <c r="Y90" s="523"/>
      <c r="Z90" s="523"/>
    </row>
    <row r="91" spans="1:26" ht="15.75" customHeight="1">
      <c r="A91" s="523"/>
      <c r="B91" s="523"/>
      <c r="C91" s="523"/>
      <c r="D91" s="523"/>
      <c r="E91" s="523"/>
      <c r="F91" s="523"/>
      <c r="G91" s="523"/>
      <c r="H91" s="524"/>
      <c r="I91" s="523"/>
      <c r="J91" s="523"/>
      <c r="K91" s="523"/>
      <c r="L91" s="523"/>
      <c r="M91" s="523"/>
      <c r="N91" s="523"/>
      <c r="O91" s="523"/>
      <c r="P91" s="523"/>
      <c r="Q91" s="523"/>
      <c r="R91" s="523"/>
      <c r="S91" s="523"/>
      <c r="T91" s="523"/>
      <c r="U91" s="523"/>
      <c r="V91" s="523"/>
      <c r="W91" s="523"/>
      <c r="X91" s="523"/>
      <c r="Y91" s="523"/>
      <c r="Z91" s="523"/>
    </row>
    <row r="92" spans="1:26" ht="15.75" customHeight="1">
      <c r="A92" s="523"/>
      <c r="B92" s="523"/>
      <c r="C92" s="523"/>
      <c r="D92" s="523"/>
      <c r="E92" s="523"/>
      <c r="F92" s="523"/>
      <c r="G92" s="523"/>
      <c r="H92" s="524"/>
      <c r="I92" s="523"/>
      <c r="J92" s="523"/>
      <c r="K92" s="523"/>
      <c r="L92" s="523"/>
      <c r="M92" s="523"/>
      <c r="N92" s="523"/>
      <c r="O92" s="523"/>
      <c r="P92" s="523"/>
      <c r="Q92" s="523"/>
      <c r="R92" s="523"/>
      <c r="S92" s="523"/>
      <c r="T92" s="523"/>
      <c r="U92" s="523"/>
      <c r="V92" s="523"/>
      <c r="W92" s="523"/>
      <c r="X92" s="523"/>
      <c r="Y92" s="523"/>
      <c r="Z92" s="523"/>
    </row>
    <row r="93" spans="1:26" ht="15.75" customHeight="1">
      <c r="A93" s="523"/>
      <c r="B93" s="523"/>
      <c r="C93" s="523"/>
      <c r="D93" s="523"/>
      <c r="E93" s="523"/>
      <c r="F93" s="523"/>
      <c r="G93" s="523"/>
      <c r="H93" s="524"/>
      <c r="I93" s="523"/>
      <c r="J93" s="523"/>
      <c r="K93" s="523"/>
      <c r="L93" s="523"/>
      <c r="M93" s="523"/>
      <c r="N93" s="523"/>
      <c r="O93" s="523"/>
      <c r="P93" s="523"/>
      <c r="Q93" s="523"/>
      <c r="R93" s="523"/>
      <c r="S93" s="523"/>
      <c r="T93" s="523"/>
      <c r="U93" s="523"/>
      <c r="V93" s="523"/>
      <c r="W93" s="523"/>
      <c r="X93" s="523"/>
      <c r="Y93" s="523"/>
      <c r="Z93" s="523"/>
    </row>
    <row r="94" spans="1:26" ht="15.75" customHeight="1">
      <c r="A94" s="523"/>
      <c r="B94" s="523"/>
      <c r="C94" s="523"/>
      <c r="D94" s="523"/>
      <c r="E94" s="523"/>
      <c r="F94" s="523"/>
      <c r="G94" s="523"/>
      <c r="H94" s="524"/>
      <c r="I94" s="523"/>
      <c r="J94" s="523"/>
      <c r="K94" s="523"/>
      <c r="L94" s="523"/>
      <c r="M94" s="523"/>
      <c r="N94" s="523"/>
      <c r="O94" s="523"/>
      <c r="P94" s="523"/>
      <c r="Q94" s="523"/>
      <c r="R94" s="523"/>
      <c r="S94" s="523"/>
      <c r="T94" s="523"/>
      <c r="U94" s="523"/>
      <c r="V94" s="523"/>
      <c r="W94" s="523"/>
      <c r="X94" s="523"/>
      <c r="Y94" s="523"/>
      <c r="Z94" s="523"/>
    </row>
    <row r="95" spans="1:26" ht="15.75" customHeight="1">
      <c r="A95" s="523"/>
      <c r="B95" s="523"/>
      <c r="C95" s="523"/>
      <c r="D95" s="523"/>
      <c r="E95" s="523"/>
      <c r="F95" s="523"/>
      <c r="G95" s="523"/>
      <c r="H95" s="524"/>
      <c r="I95" s="523"/>
      <c r="J95" s="523"/>
      <c r="K95" s="523"/>
      <c r="L95" s="523"/>
      <c r="M95" s="523"/>
      <c r="N95" s="523"/>
      <c r="O95" s="523"/>
      <c r="P95" s="523"/>
      <c r="Q95" s="523"/>
      <c r="R95" s="523"/>
      <c r="S95" s="523"/>
      <c r="T95" s="523"/>
      <c r="U95" s="523"/>
      <c r="V95" s="523"/>
      <c r="W95" s="523"/>
      <c r="X95" s="523"/>
      <c r="Y95" s="523"/>
      <c r="Z95" s="523"/>
    </row>
    <row r="96" spans="1:26" ht="15.75" customHeight="1">
      <c r="A96" s="523"/>
      <c r="B96" s="523"/>
      <c r="C96" s="523"/>
      <c r="D96" s="523"/>
      <c r="E96" s="523"/>
      <c r="F96" s="523"/>
      <c r="G96" s="523"/>
      <c r="H96" s="524"/>
      <c r="I96" s="523"/>
      <c r="J96" s="523"/>
      <c r="K96" s="523"/>
      <c r="L96" s="523"/>
      <c r="M96" s="523"/>
      <c r="N96" s="523"/>
      <c r="O96" s="523"/>
      <c r="P96" s="523"/>
      <c r="Q96" s="523"/>
      <c r="R96" s="523"/>
      <c r="S96" s="523"/>
      <c r="T96" s="523"/>
      <c r="U96" s="523"/>
      <c r="V96" s="523"/>
      <c r="W96" s="523"/>
      <c r="X96" s="523"/>
      <c r="Y96" s="523"/>
      <c r="Z96" s="523"/>
    </row>
    <row r="97" spans="1:26" ht="15.75" customHeight="1">
      <c r="A97" s="523"/>
      <c r="B97" s="523"/>
      <c r="C97" s="523"/>
      <c r="D97" s="523"/>
      <c r="E97" s="523"/>
      <c r="F97" s="523"/>
      <c r="G97" s="523"/>
      <c r="H97" s="524"/>
      <c r="I97" s="523"/>
      <c r="J97" s="523"/>
      <c r="K97" s="523"/>
      <c r="L97" s="523"/>
      <c r="M97" s="523"/>
      <c r="N97" s="523"/>
      <c r="O97" s="523"/>
      <c r="P97" s="523"/>
      <c r="Q97" s="523"/>
      <c r="R97" s="523"/>
      <c r="S97" s="523"/>
      <c r="T97" s="523"/>
      <c r="U97" s="523"/>
      <c r="V97" s="523"/>
      <c r="W97" s="523"/>
      <c r="X97" s="523"/>
      <c r="Y97" s="523"/>
      <c r="Z97" s="523"/>
    </row>
    <row r="98" spans="1:26" ht="15.75" customHeight="1">
      <c r="A98" s="523"/>
      <c r="B98" s="523"/>
      <c r="C98" s="523"/>
      <c r="D98" s="523"/>
      <c r="E98" s="523"/>
      <c r="F98" s="523"/>
      <c r="G98" s="523"/>
      <c r="H98" s="524"/>
      <c r="I98" s="523"/>
      <c r="J98" s="523"/>
      <c r="K98" s="523"/>
      <c r="L98" s="523"/>
      <c r="M98" s="523"/>
      <c r="N98" s="523"/>
      <c r="O98" s="523"/>
      <c r="P98" s="523"/>
      <c r="Q98" s="523"/>
      <c r="R98" s="523"/>
      <c r="S98" s="523"/>
      <c r="T98" s="523"/>
      <c r="U98" s="523"/>
      <c r="V98" s="523"/>
      <c r="W98" s="523"/>
      <c r="X98" s="523"/>
      <c r="Y98" s="523"/>
      <c r="Z98" s="523"/>
    </row>
    <row r="99" spans="1:26" ht="15.75" customHeight="1">
      <c r="A99" s="523"/>
      <c r="B99" s="523"/>
      <c r="C99" s="523"/>
      <c r="D99" s="523"/>
      <c r="E99" s="523"/>
      <c r="F99" s="523"/>
      <c r="G99" s="523"/>
      <c r="H99" s="524"/>
      <c r="I99" s="523"/>
      <c r="J99" s="523"/>
      <c r="K99" s="523"/>
      <c r="L99" s="523"/>
      <c r="M99" s="523"/>
      <c r="N99" s="523"/>
      <c r="O99" s="523"/>
      <c r="P99" s="523"/>
      <c r="Q99" s="523"/>
      <c r="R99" s="523"/>
      <c r="S99" s="523"/>
      <c r="T99" s="523"/>
      <c r="U99" s="523"/>
      <c r="V99" s="523"/>
      <c r="W99" s="523"/>
      <c r="X99" s="523"/>
      <c r="Y99" s="523"/>
      <c r="Z99" s="523"/>
    </row>
    <row r="100" spans="1:26" ht="15.75" customHeight="1">
      <c r="A100" s="523"/>
      <c r="B100" s="523"/>
      <c r="C100" s="523"/>
      <c r="D100" s="523"/>
      <c r="E100" s="523"/>
      <c r="F100" s="523"/>
      <c r="G100" s="523"/>
      <c r="H100" s="524"/>
      <c r="I100" s="523"/>
      <c r="J100" s="523"/>
      <c r="K100" s="523"/>
      <c r="L100" s="523"/>
      <c r="M100" s="523"/>
      <c r="N100" s="523"/>
      <c r="O100" s="523"/>
      <c r="P100" s="523"/>
      <c r="Q100" s="523"/>
      <c r="R100" s="523"/>
      <c r="S100" s="523"/>
      <c r="T100" s="523"/>
      <c r="U100" s="523"/>
      <c r="V100" s="523"/>
      <c r="W100" s="523"/>
      <c r="X100" s="523"/>
      <c r="Y100" s="523"/>
      <c r="Z100" s="523"/>
    </row>
    <row r="101" spans="1:26" ht="15.75" customHeight="1">
      <c r="A101" s="523"/>
      <c r="B101" s="523"/>
      <c r="C101" s="523"/>
      <c r="D101" s="523"/>
      <c r="E101" s="523"/>
      <c r="F101" s="523"/>
      <c r="G101" s="523"/>
      <c r="H101" s="524"/>
      <c r="I101" s="523"/>
      <c r="J101" s="523"/>
      <c r="K101" s="523"/>
      <c r="L101" s="523"/>
      <c r="M101" s="523"/>
      <c r="N101" s="523"/>
      <c r="O101" s="523"/>
      <c r="P101" s="523"/>
      <c r="Q101" s="523"/>
      <c r="R101" s="523"/>
      <c r="S101" s="523"/>
      <c r="T101" s="523"/>
      <c r="U101" s="523"/>
      <c r="V101" s="523"/>
      <c r="W101" s="523"/>
      <c r="X101" s="523"/>
      <c r="Y101" s="523"/>
      <c r="Z101" s="523"/>
    </row>
    <row r="102" spans="1:26" ht="15.75" customHeight="1">
      <c r="A102" s="523"/>
      <c r="B102" s="523"/>
      <c r="C102" s="523"/>
      <c r="D102" s="523"/>
      <c r="E102" s="523"/>
      <c r="F102" s="523"/>
      <c r="G102" s="523"/>
      <c r="H102" s="524"/>
      <c r="I102" s="523"/>
      <c r="J102" s="523"/>
      <c r="K102" s="523"/>
      <c r="L102" s="523"/>
      <c r="M102" s="523"/>
      <c r="N102" s="523"/>
      <c r="O102" s="523"/>
      <c r="P102" s="523"/>
      <c r="Q102" s="523"/>
      <c r="R102" s="523"/>
      <c r="S102" s="523"/>
      <c r="T102" s="523"/>
      <c r="U102" s="523"/>
      <c r="V102" s="523"/>
      <c r="W102" s="523"/>
      <c r="X102" s="523"/>
      <c r="Y102" s="523"/>
      <c r="Z102" s="523"/>
    </row>
    <row r="103" spans="1:26" ht="15.75" customHeight="1">
      <c r="A103" s="523"/>
      <c r="B103" s="523"/>
      <c r="C103" s="523"/>
      <c r="D103" s="523"/>
      <c r="E103" s="523"/>
      <c r="F103" s="523"/>
      <c r="G103" s="523"/>
      <c r="H103" s="524"/>
      <c r="I103" s="523"/>
      <c r="J103" s="523"/>
      <c r="K103" s="523"/>
      <c r="L103" s="523"/>
      <c r="M103" s="523"/>
      <c r="N103" s="523"/>
      <c r="O103" s="523"/>
      <c r="P103" s="523"/>
      <c r="Q103" s="523"/>
      <c r="R103" s="523"/>
      <c r="S103" s="523"/>
      <c r="T103" s="523"/>
      <c r="U103" s="523"/>
      <c r="V103" s="523"/>
      <c r="W103" s="523"/>
      <c r="X103" s="523"/>
      <c r="Y103" s="523"/>
      <c r="Z103" s="523"/>
    </row>
    <row r="104" spans="1:26" ht="15.75" customHeight="1">
      <c r="A104" s="523"/>
      <c r="B104" s="523"/>
      <c r="C104" s="523"/>
      <c r="D104" s="523"/>
      <c r="E104" s="523"/>
      <c r="F104" s="523"/>
      <c r="G104" s="523"/>
      <c r="H104" s="524"/>
      <c r="I104" s="523"/>
      <c r="J104" s="523"/>
      <c r="K104" s="523"/>
      <c r="L104" s="523"/>
      <c r="M104" s="523"/>
      <c r="N104" s="523"/>
      <c r="O104" s="523"/>
      <c r="P104" s="523"/>
      <c r="Q104" s="523"/>
      <c r="R104" s="523"/>
      <c r="S104" s="523"/>
      <c r="T104" s="523"/>
      <c r="U104" s="523"/>
      <c r="V104" s="523"/>
      <c r="W104" s="523"/>
      <c r="X104" s="523"/>
      <c r="Y104" s="523"/>
      <c r="Z104" s="523"/>
    </row>
    <row r="105" spans="1:26" ht="15.75" customHeight="1">
      <c r="A105" s="523"/>
      <c r="B105" s="523"/>
      <c r="C105" s="523"/>
      <c r="D105" s="523"/>
      <c r="E105" s="523"/>
      <c r="F105" s="523"/>
      <c r="G105" s="523"/>
      <c r="H105" s="524"/>
      <c r="I105" s="523"/>
      <c r="J105" s="523"/>
      <c r="K105" s="523"/>
      <c r="L105" s="523"/>
      <c r="M105" s="523"/>
      <c r="N105" s="523"/>
      <c r="O105" s="523"/>
      <c r="P105" s="523"/>
      <c r="Q105" s="523"/>
      <c r="R105" s="523"/>
      <c r="S105" s="523"/>
      <c r="T105" s="523"/>
      <c r="U105" s="523"/>
      <c r="V105" s="523"/>
      <c r="W105" s="523"/>
      <c r="X105" s="523"/>
      <c r="Y105" s="523"/>
      <c r="Z105" s="523"/>
    </row>
    <row r="106" spans="1:26" ht="15.75" customHeight="1">
      <c r="A106" s="523"/>
      <c r="B106" s="523"/>
      <c r="C106" s="523"/>
      <c r="D106" s="523"/>
      <c r="E106" s="523"/>
      <c r="F106" s="523"/>
      <c r="G106" s="523"/>
      <c r="H106" s="524"/>
      <c r="I106" s="523"/>
      <c r="J106" s="523"/>
      <c r="K106" s="523"/>
      <c r="L106" s="523"/>
      <c r="M106" s="523"/>
      <c r="N106" s="523"/>
      <c r="O106" s="523"/>
      <c r="P106" s="523"/>
      <c r="Q106" s="523"/>
      <c r="R106" s="523"/>
      <c r="S106" s="523"/>
      <c r="T106" s="523"/>
      <c r="U106" s="523"/>
      <c r="V106" s="523"/>
      <c r="W106" s="523"/>
      <c r="X106" s="523"/>
      <c r="Y106" s="523"/>
      <c r="Z106" s="523"/>
    </row>
    <row r="107" spans="1:26" ht="15.75" customHeight="1">
      <c r="A107" s="523"/>
      <c r="B107" s="523"/>
      <c r="C107" s="523"/>
      <c r="D107" s="523"/>
      <c r="E107" s="523"/>
      <c r="F107" s="523"/>
      <c r="G107" s="523"/>
      <c r="H107" s="524"/>
      <c r="I107" s="523"/>
      <c r="J107" s="523"/>
      <c r="K107" s="523"/>
      <c r="L107" s="523"/>
      <c r="M107" s="523"/>
      <c r="N107" s="523"/>
      <c r="O107" s="523"/>
      <c r="P107" s="523"/>
      <c r="Q107" s="523"/>
      <c r="R107" s="523"/>
      <c r="S107" s="523"/>
      <c r="T107" s="523"/>
      <c r="U107" s="523"/>
      <c r="V107" s="523"/>
      <c r="W107" s="523"/>
      <c r="X107" s="523"/>
      <c r="Y107" s="523"/>
      <c r="Z107" s="523"/>
    </row>
    <row r="108" spans="1:26" ht="15.75" customHeight="1">
      <c r="A108" s="523"/>
      <c r="B108" s="523"/>
      <c r="C108" s="523"/>
      <c r="D108" s="523"/>
      <c r="E108" s="523"/>
      <c r="F108" s="523"/>
      <c r="G108" s="523"/>
      <c r="H108" s="524"/>
      <c r="I108" s="523"/>
      <c r="J108" s="523"/>
      <c r="K108" s="523"/>
      <c r="L108" s="523"/>
      <c r="M108" s="523"/>
      <c r="N108" s="523"/>
      <c r="O108" s="523"/>
      <c r="P108" s="523"/>
      <c r="Q108" s="523"/>
      <c r="R108" s="523"/>
      <c r="S108" s="523"/>
      <c r="T108" s="523"/>
      <c r="U108" s="523"/>
      <c r="V108" s="523"/>
      <c r="W108" s="523"/>
      <c r="X108" s="523"/>
      <c r="Y108" s="523"/>
      <c r="Z108" s="523"/>
    </row>
    <row r="109" spans="1:26" ht="15.75" customHeight="1">
      <c r="A109" s="523"/>
      <c r="B109" s="523"/>
      <c r="C109" s="523"/>
      <c r="D109" s="523"/>
      <c r="E109" s="523"/>
      <c r="F109" s="523"/>
      <c r="G109" s="523"/>
      <c r="H109" s="524"/>
      <c r="I109" s="523"/>
      <c r="J109" s="523"/>
      <c r="K109" s="523"/>
      <c r="L109" s="523"/>
      <c r="M109" s="523"/>
      <c r="N109" s="523"/>
      <c r="O109" s="523"/>
      <c r="P109" s="523"/>
      <c r="Q109" s="523"/>
      <c r="R109" s="523"/>
      <c r="S109" s="523"/>
      <c r="T109" s="523"/>
      <c r="U109" s="523"/>
      <c r="V109" s="523"/>
      <c r="W109" s="523"/>
      <c r="X109" s="523"/>
      <c r="Y109" s="523"/>
      <c r="Z109" s="523"/>
    </row>
    <row r="110" spans="1:26" ht="15.75" customHeight="1">
      <c r="A110" s="523"/>
      <c r="B110" s="523"/>
      <c r="C110" s="523"/>
      <c r="D110" s="523"/>
      <c r="E110" s="523"/>
      <c r="F110" s="523"/>
      <c r="G110" s="523"/>
      <c r="H110" s="524"/>
      <c r="I110" s="523"/>
      <c r="J110" s="523"/>
      <c r="K110" s="523"/>
      <c r="L110" s="523"/>
      <c r="M110" s="523"/>
      <c r="N110" s="523"/>
      <c r="O110" s="523"/>
      <c r="P110" s="523"/>
      <c r="Q110" s="523"/>
      <c r="R110" s="523"/>
      <c r="S110" s="523"/>
      <c r="T110" s="523"/>
      <c r="U110" s="523"/>
      <c r="V110" s="523"/>
      <c r="W110" s="523"/>
      <c r="X110" s="523"/>
      <c r="Y110" s="523"/>
      <c r="Z110" s="523"/>
    </row>
    <row r="111" spans="1:26" ht="15.75" customHeight="1">
      <c r="A111" s="523"/>
      <c r="B111" s="523"/>
      <c r="C111" s="523"/>
      <c r="D111" s="523"/>
      <c r="E111" s="523"/>
      <c r="F111" s="523"/>
      <c r="G111" s="523"/>
      <c r="H111" s="524"/>
      <c r="I111" s="523"/>
      <c r="J111" s="523"/>
      <c r="K111" s="523"/>
      <c r="L111" s="523"/>
      <c r="M111" s="523"/>
      <c r="N111" s="523"/>
      <c r="O111" s="523"/>
      <c r="P111" s="523"/>
      <c r="Q111" s="523"/>
      <c r="R111" s="523"/>
      <c r="S111" s="523"/>
      <c r="T111" s="523"/>
      <c r="U111" s="523"/>
      <c r="V111" s="523"/>
      <c r="W111" s="523"/>
      <c r="X111" s="523"/>
      <c r="Y111" s="523"/>
      <c r="Z111" s="523"/>
    </row>
    <row r="112" spans="1:26" ht="15.75" customHeight="1">
      <c r="A112" s="523"/>
      <c r="B112" s="523"/>
      <c r="C112" s="523"/>
      <c r="D112" s="523"/>
      <c r="E112" s="523"/>
      <c r="F112" s="523"/>
      <c r="G112" s="523"/>
      <c r="H112" s="524"/>
      <c r="I112" s="523"/>
      <c r="J112" s="523"/>
      <c r="K112" s="523"/>
      <c r="L112" s="523"/>
      <c r="M112" s="523"/>
      <c r="N112" s="523"/>
      <c r="O112" s="523"/>
      <c r="P112" s="523"/>
      <c r="Q112" s="523"/>
      <c r="R112" s="523"/>
      <c r="S112" s="523"/>
      <c r="T112" s="523"/>
      <c r="U112" s="523"/>
      <c r="V112" s="523"/>
      <c r="W112" s="523"/>
      <c r="X112" s="523"/>
      <c r="Y112" s="523"/>
      <c r="Z112" s="523"/>
    </row>
    <row r="113" spans="1:26" ht="15.75" customHeight="1">
      <c r="A113" s="523"/>
      <c r="B113" s="523"/>
      <c r="C113" s="523"/>
      <c r="D113" s="523"/>
      <c r="E113" s="523"/>
      <c r="F113" s="523"/>
      <c r="G113" s="523"/>
      <c r="H113" s="524"/>
      <c r="I113" s="523"/>
      <c r="J113" s="523"/>
      <c r="K113" s="523"/>
      <c r="L113" s="523"/>
      <c r="M113" s="523"/>
      <c r="N113" s="523"/>
      <c r="O113" s="523"/>
      <c r="P113" s="523"/>
      <c r="Q113" s="523"/>
      <c r="R113" s="523"/>
      <c r="S113" s="523"/>
      <c r="T113" s="523"/>
      <c r="U113" s="523"/>
      <c r="V113" s="523"/>
      <c r="W113" s="523"/>
      <c r="X113" s="523"/>
      <c r="Y113" s="523"/>
      <c r="Z113" s="523"/>
    </row>
    <row r="114" spans="1:26" ht="15.75" customHeight="1">
      <c r="A114" s="523"/>
      <c r="B114" s="523"/>
      <c r="C114" s="523"/>
      <c r="D114" s="523"/>
      <c r="E114" s="523"/>
      <c r="F114" s="523"/>
      <c r="G114" s="523"/>
      <c r="H114" s="524"/>
      <c r="I114" s="523"/>
      <c r="J114" s="523"/>
      <c r="K114" s="523"/>
      <c r="L114" s="523"/>
      <c r="M114" s="523"/>
      <c r="N114" s="523"/>
      <c r="O114" s="523"/>
      <c r="P114" s="523"/>
      <c r="Q114" s="523"/>
      <c r="R114" s="523"/>
      <c r="S114" s="523"/>
      <c r="T114" s="523"/>
      <c r="U114" s="523"/>
      <c r="V114" s="523"/>
      <c r="W114" s="523"/>
      <c r="X114" s="523"/>
      <c r="Y114" s="523"/>
      <c r="Z114" s="523"/>
    </row>
    <row r="115" spans="1:26" ht="15.75" customHeight="1">
      <c r="A115" s="523"/>
      <c r="B115" s="523"/>
      <c r="C115" s="523"/>
      <c r="D115" s="523"/>
      <c r="E115" s="523"/>
      <c r="F115" s="523"/>
      <c r="G115" s="523"/>
      <c r="H115" s="524"/>
      <c r="I115" s="523"/>
      <c r="J115" s="523"/>
      <c r="K115" s="523"/>
      <c r="L115" s="523"/>
      <c r="M115" s="523"/>
      <c r="N115" s="523"/>
      <c r="O115" s="523"/>
      <c r="P115" s="523"/>
      <c r="Q115" s="523"/>
      <c r="R115" s="523"/>
      <c r="S115" s="523"/>
      <c r="T115" s="523"/>
      <c r="U115" s="523"/>
      <c r="V115" s="523"/>
      <c r="W115" s="523"/>
      <c r="X115" s="523"/>
      <c r="Y115" s="523"/>
      <c r="Z115" s="523"/>
    </row>
    <row r="116" spans="1:26" ht="15.75" customHeight="1">
      <c r="A116" s="523"/>
      <c r="B116" s="523"/>
      <c r="C116" s="523"/>
      <c r="D116" s="523"/>
      <c r="E116" s="523"/>
      <c r="F116" s="523"/>
      <c r="G116" s="523"/>
      <c r="H116" s="524"/>
      <c r="I116" s="523"/>
      <c r="J116" s="523"/>
      <c r="K116" s="523"/>
      <c r="L116" s="523"/>
      <c r="M116" s="523"/>
      <c r="N116" s="523"/>
      <c r="O116" s="523"/>
      <c r="P116" s="523"/>
      <c r="Q116" s="523"/>
      <c r="R116" s="523"/>
      <c r="S116" s="523"/>
      <c r="T116" s="523"/>
      <c r="U116" s="523"/>
      <c r="V116" s="523"/>
      <c r="W116" s="523"/>
      <c r="X116" s="523"/>
      <c r="Y116" s="523"/>
      <c r="Z116" s="523"/>
    </row>
    <row r="117" spans="1:26" ht="15.75" customHeight="1">
      <c r="A117" s="523"/>
      <c r="B117" s="523"/>
      <c r="C117" s="523"/>
      <c r="D117" s="523"/>
      <c r="E117" s="523"/>
      <c r="F117" s="523"/>
      <c r="G117" s="523"/>
      <c r="H117" s="524"/>
      <c r="I117" s="523"/>
      <c r="J117" s="523"/>
      <c r="K117" s="523"/>
      <c r="L117" s="523"/>
      <c r="M117" s="523"/>
      <c r="N117" s="523"/>
      <c r="O117" s="523"/>
      <c r="P117" s="523"/>
      <c r="Q117" s="523"/>
      <c r="R117" s="523"/>
      <c r="S117" s="523"/>
      <c r="T117" s="523"/>
      <c r="U117" s="523"/>
      <c r="V117" s="523"/>
      <c r="W117" s="523"/>
      <c r="X117" s="523"/>
      <c r="Y117" s="523"/>
      <c r="Z117" s="523"/>
    </row>
    <row r="118" spans="1:26" ht="15.75" customHeight="1">
      <c r="A118" s="523"/>
      <c r="B118" s="523"/>
      <c r="C118" s="523"/>
      <c r="D118" s="523"/>
      <c r="E118" s="523"/>
      <c r="F118" s="523"/>
      <c r="G118" s="523"/>
      <c r="H118" s="524"/>
      <c r="I118" s="523"/>
      <c r="J118" s="523"/>
      <c r="K118" s="523"/>
      <c r="L118" s="523"/>
      <c r="M118" s="523"/>
      <c r="N118" s="523"/>
      <c r="O118" s="523"/>
      <c r="P118" s="523"/>
      <c r="Q118" s="523"/>
      <c r="R118" s="523"/>
      <c r="S118" s="523"/>
      <c r="T118" s="523"/>
      <c r="U118" s="523"/>
      <c r="V118" s="523"/>
      <c r="W118" s="523"/>
      <c r="X118" s="523"/>
      <c r="Y118" s="523"/>
      <c r="Z118" s="523"/>
    </row>
    <row r="119" spans="1:26" ht="15.75" customHeight="1">
      <c r="A119" s="523"/>
      <c r="B119" s="523"/>
      <c r="C119" s="523"/>
      <c r="D119" s="523"/>
      <c r="E119" s="523"/>
      <c r="F119" s="523"/>
      <c r="G119" s="523"/>
      <c r="H119" s="524"/>
      <c r="I119" s="523"/>
      <c r="J119" s="523"/>
      <c r="K119" s="523"/>
      <c r="L119" s="523"/>
      <c r="M119" s="523"/>
      <c r="N119" s="523"/>
      <c r="O119" s="523"/>
      <c r="P119" s="523"/>
      <c r="Q119" s="523"/>
      <c r="R119" s="523"/>
      <c r="S119" s="523"/>
      <c r="T119" s="523"/>
      <c r="U119" s="523"/>
      <c r="V119" s="523"/>
      <c r="W119" s="523"/>
      <c r="X119" s="523"/>
      <c r="Y119" s="523"/>
      <c r="Z119" s="523"/>
    </row>
    <row r="120" spans="1:26" ht="15.75" customHeight="1">
      <c r="A120" s="523"/>
      <c r="B120" s="523"/>
      <c r="C120" s="523"/>
      <c r="D120" s="523"/>
      <c r="E120" s="523"/>
      <c r="F120" s="523"/>
      <c r="G120" s="523"/>
      <c r="H120" s="524"/>
      <c r="I120" s="523"/>
      <c r="J120" s="523"/>
      <c r="K120" s="523"/>
      <c r="L120" s="523"/>
      <c r="M120" s="523"/>
      <c r="N120" s="523"/>
      <c r="O120" s="523"/>
      <c r="P120" s="523"/>
      <c r="Q120" s="523"/>
      <c r="R120" s="523"/>
      <c r="S120" s="523"/>
      <c r="T120" s="523"/>
      <c r="U120" s="523"/>
      <c r="V120" s="523"/>
      <c r="W120" s="523"/>
      <c r="X120" s="523"/>
      <c r="Y120" s="523"/>
      <c r="Z120" s="523"/>
    </row>
    <row r="121" spans="1:26" ht="15.75" customHeight="1">
      <c r="A121" s="523"/>
      <c r="B121" s="523"/>
      <c r="C121" s="523"/>
      <c r="D121" s="523"/>
      <c r="E121" s="523"/>
      <c r="F121" s="523"/>
      <c r="G121" s="523"/>
      <c r="H121" s="524"/>
      <c r="I121" s="523"/>
      <c r="J121" s="523"/>
      <c r="K121" s="523"/>
      <c r="L121" s="523"/>
      <c r="M121" s="523"/>
      <c r="N121" s="523"/>
      <c r="O121" s="523"/>
      <c r="P121" s="523"/>
      <c r="Q121" s="523"/>
      <c r="R121" s="523"/>
      <c r="S121" s="523"/>
      <c r="T121" s="523"/>
      <c r="U121" s="523"/>
      <c r="V121" s="523"/>
      <c r="W121" s="523"/>
      <c r="X121" s="523"/>
      <c r="Y121" s="523"/>
      <c r="Z121" s="523"/>
    </row>
    <row r="122" spans="1:26" ht="15.75" customHeight="1">
      <c r="A122" s="523"/>
      <c r="B122" s="523"/>
      <c r="C122" s="523"/>
      <c r="D122" s="523"/>
      <c r="E122" s="523"/>
      <c r="F122" s="523"/>
      <c r="G122" s="523"/>
      <c r="H122" s="524"/>
      <c r="I122" s="523"/>
      <c r="J122" s="523"/>
      <c r="K122" s="523"/>
      <c r="L122" s="523"/>
      <c r="M122" s="523"/>
      <c r="N122" s="523"/>
      <c r="O122" s="523"/>
      <c r="P122" s="523"/>
      <c r="Q122" s="523"/>
      <c r="R122" s="523"/>
      <c r="S122" s="523"/>
      <c r="T122" s="523"/>
      <c r="U122" s="523"/>
      <c r="V122" s="523"/>
      <c r="W122" s="523"/>
      <c r="X122" s="523"/>
      <c r="Y122" s="523"/>
      <c r="Z122" s="523"/>
    </row>
    <row r="123" spans="1:26" ht="15.75" customHeight="1">
      <c r="A123" s="523"/>
      <c r="B123" s="523"/>
      <c r="C123" s="523"/>
      <c r="D123" s="523"/>
      <c r="E123" s="523"/>
      <c r="F123" s="523"/>
      <c r="G123" s="523"/>
      <c r="H123" s="524"/>
      <c r="I123" s="523"/>
      <c r="J123" s="523"/>
      <c r="K123" s="523"/>
      <c r="L123" s="523"/>
      <c r="M123" s="523"/>
      <c r="N123" s="523"/>
      <c r="O123" s="523"/>
      <c r="P123" s="523"/>
      <c r="Q123" s="523"/>
      <c r="R123" s="523"/>
      <c r="S123" s="523"/>
      <c r="T123" s="523"/>
      <c r="U123" s="523"/>
      <c r="V123" s="523"/>
      <c r="W123" s="523"/>
      <c r="X123" s="523"/>
      <c r="Y123" s="523"/>
      <c r="Z123" s="523"/>
    </row>
    <row r="124" spans="1:26" ht="15.75" customHeight="1">
      <c r="A124" s="523"/>
      <c r="B124" s="523"/>
      <c r="C124" s="523"/>
      <c r="D124" s="523"/>
      <c r="E124" s="523"/>
      <c r="F124" s="523"/>
      <c r="G124" s="523"/>
      <c r="H124" s="524"/>
      <c r="I124" s="523"/>
      <c r="J124" s="523"/>
      <c r="K124" s="523"/>
      <c r="L124" s="523"/>
      <c r="M124" s="523"/>
      <c r="N124" s="523"/>
      <c r="O124" s="523"/>
      <c r="P124" s="523"/>
      <c r="Q124" s="523"/>
      <c r="R124" s="523"/>
      <c r="S124" s="523"/>
      <c r="T124" s="523"/>
      <c r="U124" s="523"/>
      <c r="V124" s="523"/>
      <c r="W124" s="523"/>
      <c r="X124" s="523"/>
      <c r="Y124" s="523"/>
      <c r="Z124" s="523"/>
    </row>
    <row r="125" spans="1:26" ht="15.75" customHeight="1">
      <c r="A125" s="523"/>
      <c r="B125" s="523"/>
      <c r="C125" s="523"/>
      <c r="D125" s="523"/>
      <c r="E125" s="523"/>
      <c r="F125" s="523"/>
      <c r="G125" s="523"/>
      <c r="H125" s="524"/>
      <c r="I125" s="523"/>
      <c r="J125" s="523"/>
      <c r="K125" s="523"/>
      <c r="L125" s="523"/>
      <c r="M125" s="523"/>
      <c r="N125" s="523"/>
      <c r="O125" s="523"/>
      <c r="P125" s="523"/>
      <c r="Q125" s="523"/>
      <c r="R125" s="523"/>
      <c r="S125" s="523"/>
      <c r="T125" s="523"/>
      <c r="U125" s="523"/>
      <c r="V125" s="523"/>
      <c r="W125" s="523"/>
      <c r="X125" s="523"/>
      <c r="Y125" s="523"/>
      <c r="Z125" s="523"/>
    </row>
    <row r="126" spans="1:26" ht="15.75" customHeight="1">
      <c r="A126" s="523"/>
      <c r="B126" s="523"/>
      <c r="C126" s="523"/>
      <c r="D126" s="523"/>
      <c r="E126" s="523"/>
      <c r="F126" s="523"/>
      <c r="G126" s="523"/>
      <c r="H126" s="524"/>
      <c r="I126" s="523"/>
      <c r="J126" s="523"/>
      <c r="K126" s="523"/>
      <c r="L126" s="523"/>
      <c r="M126" s="523"/>
      <c r="N126" s="523"/>
      <c r="O126" s="523"/>
      <c r="P126" s="523"/>
      <c r="Q126" s="523"/>
      <c r="R126" s="523"/>
      <c r="S126" s="523"/>
      <c r="T126" s="523"/>
      <c r="U126" s="523"/>
      <c r="V126" s="523"/>
      <c r="W126" s="523"/>
      <c r="X126" s="523"/>
      <c r="Y126" s="523"/>
      <c r="Z126" s="523"/>
    </row>
    <row r="127" spans="1:26" ht="15.75" customHeight="1">
      <c r="A127" s="523"/>
      <c r="B127" s="523"/>
      <c r="C127" s="523"/>
      <c r="D127" s="523"/>
      <c r="E127" s="523"/>
      <c r="F127" s="523"/>
      <c r="G127" s="523"/>
      <c r="H127" s="524"/>
      <c r="I127" s="523"/>
      <c r="J127" s="523"/>
      <c r="K127" s="523"/>
      <c r="L127" s="523"/>
      <c r="M127" s="523"/>
      <c r="N127" s="523"/>
      <c r="O127" s="523"/>
      <c r="P127" s="523"/>
      <c r="Q127" s="523"/>
      <c r="R127" s="523"/>
      <c r="S127" s="523"/>
      <c r="T127" s="523"/>
      <c r="U127" s="523"/>
      <c r="V127" s="523"/>
      <c r="W127" s="523"/>
      <c r="X127" s="523"/>
      <c r="Y127" s="523"/>
      <c r="Z127" s="523"/>
    </row>
    <row r="128" spans="1:26" ht="15.75" customHeight="1">
      <c r="A128" s="523"/>
      <c r="B128" s="523"/>
      <c r="C128" s="523"/>
      <c r="D128" s="523"/>
      <c r="E128" s="523"/>
      <c r="F128" s="523"/>
      <c r="G128" s="523"/>
      <c r="H128" s="524"/>
      <c r="I128" s="523"/>
      <c r="J128" s="523"/>
      <c r="K128" s="523"/>
      <c r="L128" s="523"/>
      <c r="M128" s="523"/>
      <c r="N128" s="523"/>
      <c r="O128" s="523"/>
      <c r="P128" s="523"/>
      <c r="Q128" s="523"/>
      <c r="R128" s="523"/>
      <c r="S128" s="523"/>
      <c r="T128" s="523"/>
      <c r="U128" s="523"/>
      <c r="V128" s="523"/>
      <c r="W128" s="523"/>
      <c r="X128" s="523"/>
      <c r="Y128" s="523"/>
      <c r="Z128" s="523"/>
    </row>
    <row r="129" spans="1:26" ht="15.75" customHeight="1">
      <c r="A129" s="523"/>
      <c r="B129" s="523"/>
      <c r="C129" s="523"/>
      <c r="D129" s="523"/>
      <c r="E129" s="523"/>
      <c r="F129" s="523"/>
      <c r="G129" s="523"/>
      <c r="H129" s="524"/>
      <c r="I129" s="523"/>
      <c r="J129" s="523"/>
      <c r="K129" s="523"/>
      <c r="L129" s="523"/>
      <c r="M129" s="523"/>
      <c r="N129" s="523"/>
      <c r="O129" s="523"/>
      <c r="P129" s="523"/>
      <c r="Q129" s="523"/>
      <c r="R129" s="523"/>
      <c r="S129" s="523"/>
      <c r="T129" s="523"/>
      <c r="U129" s="523"/>
      <c r="V129" s="523"/>
      <c r="W129" s="523"/>
      <c r="X129" s="523"/>
      <c r="Y129" s="523"/>
      <c r="Z129" s="523"/>
    </row>
    <row r="130" spans="1:26" ht="15.75" customHeight="1">
      <c r="A130" s="523"/>
      <c r="B130" s="523"/>
      <c r="C130" s="523"/>
      <c r="D130" s="523"/>
      <c r="E130" s="523"/>
      <c r="F130" s="523"/>
      <c r="G130" s="523"/>
      <c r="H130" s="524"/>
      <c r="I130" s="523"/>
      <c r="J130" s="523"/>
      <c r="K130" s="523"/>
      <c r="L130" s="523"/>
      <c r="M130" s="523"/>
      <c r="N130" s="523"/>
      <c r="O130" s="523"/>
      <c r="P130" s="523"/>
      <c r="Q130" s="523"/>
      <c r="R130" s="523"/>
      <c r="S130" s="523"/>
      <c r="T130" s="523"/>
      <c r="U130" s="523"/>
      <c r="V130" s="523"/>
      <c r="W130" s="523"/>
      <c r="X130" s="523"/>
      <c r="Y130" s="523"/>
      <c r="Z130" s="523"/>
    </row>
    <row r="131" spans="1:26" ht="15.75" customHeight="1">
      <c r="A131" s="523"/>
      <c r="B131" s="523"/>
      <c r="C131" s="523"/>
      <c r="D131" s="523"/>
      <c r="E131" s="523"/>
      <c r="F131" s="523"/>
      <c r="G131" s="523"/>
      <c r="H131" s="524"/>
      <c r="I131" s="523"/>
      <c r="J131" s="523"/>
      <c r="K131" s="523"/>
      <c r="L131" s="523"/>
      <c r="M131" s="523"/>
      <c r="N131" s="523"/>
      <c r="O131" s="523"/>
      <c r="P131" s="523"/>
      <c r="Q131" s="523"/>
      <c r="R131" s="523"/>
      <c r="S131" s="523"/>
      <c r="T131" s="523"/>
      <c r="U131" s="523"/>
      <c r="V131" s="523"/>
      <c r="W131" s="523"/>
      <c r="X131" s="523"/>
      <c r="Y131" s="523"/>
      <c r="Z131" s="523"/>
    </row>
    <row r="132" spans="1:26" ht="15.75" customHeight="1">
      <c r="A132" s="523"/>
      <c r="B132" s="523"/>
      <c r="C132" s="523"/>
      <c r="D132" s="523"/>
      <c r="E132" s="523"/>
      <c r="F132" s="523"/>
      <c r="G132" s="523"/>
      <c r="H132" s="524"/>
      <c r="I132" s="523"/>
      <c r="J132" s="523"/>
      <c r="K132" s="523"/>
      <c r="L132" s="523"/>
      <c r="M132" s="523"/>
      <c r="N132" s="523"/>
      <c r="O132" s="523"/>
      <c r="P132" s="523"/>
      <c r="Q132" s="523"/>
      <c r="R132" s="523"/>
      <c r="S132" s="523"/>
      <c r="T132" s="523"/>
      <c r="U132" s="523"/>
      <c r="V132" s="523"/>
      <c r="W132" s="523"/>
      <c r="X132" s="523"/>
      <c r="Y132" s="523"/>
      <c r="Z132" s="523"/>
    </row>
    <row r="133" spans="1:26" ht="15.75" customHeight="1">
      <c r="A133" s="523"/>
      <c r="B133" s="523"/>
      <c r="C133" s="523"/>
      <c r="D133" s="523"/>
      <c r="E133" s="523"/>
      <c r="F133" s="523"/>
      <c r="G133" s="523"/>
      <c r="H133" s="524"/>
      <c r="I133" s="523"/>
      <c r="J133" s="523"/>
      <c r="K133" s="523"/>
      <c r="L133" s="523"/>
      <c r="M133" s="523"/>
      <c r="N133" s="523"/>
      <c r="O133" s="523"/>
      <c r="P133" s="523"/>
      <c r="Q133" s="523"/>
      <c r="R133" s="523"/>
      <c r="S133" s="523"/>
      <c r="T133" s="523"/>
      <c r="U133" s="523"/>
      <c r="V133" s="523"/>
      <c r="W133" s="523"/>
      <c r="X133" s="523"/>
      <c r="Y133" s="523"/>
      <c r="Z133" s="523"/>
    </row>
    <row r="134" spans="1:26" ht="15.75" customHeight="1">
      <c r="A134" s="523"/>
      <c r="B134" s="523"/>
      <c r="C134" s="523"/>
      <c r="D134" s="523"/>
      <c r="E134" s="523"/>
      <c r="F134" s="523"/>
      <c r="G134" s="523"/>
      <c r="H134" s="524"/>
      <c r="I134" s="523"/>
      <c r="J134" s="523"/>
      <c r="K134" s="523"/>
      <c r="L134" s="523"/>
      <c r="M134" s="523"/>
      <c r="N134" s="523"/>
      <c r="O134" s="523"/>
      <c r="P134" s="523"/>
      <c r="Q134" s="523"/>
      <c r="R134" s="523"/>
      <c r="S134" s="523"/>
      <c r="T134" s="523"/>
      <c r="U134" s="523"/>
      <c r="V134" s="523"/>
      <c r="W134" s="523"/>
      <c r="X134" s="523"/>
      <c r="Y134" s="523"/>
      <c r="Z134" s="523"/>
    </row>
    <row r="135" spans="1:26" ht="15.75" customHeight="1">
      <c r="A135" s="523"/>
      <c r="B135" s="523"/>
      <c r="C135" s="523"/>
      <c r="D135" s="523"/>
      <c r="E135" s="523"/>
      <c r="F135" s="523"/>
      <c r="G135" s="523"/>
      <c r="H135" s="524"/>
      <c r="I135" s="523"/>
      <c r="J135" s="523"/>
      <c r="K135" s="523"/>
      <c r="L135" s="523"/>
      <c r="M135" s="523"/>
      <c r="N135" s="523"/>
      <c r="O135" s="523"/>
      <c r="P135" s="523"/>
      <c r="Q135" s="523"/>
      <c r="R135" s="523"/>
      <c r="S135" s="523"/>
      <c r="T135" s="523"/>
      <c r="U135" s="523"/>
      <c r="V135" s="523"/>
      <c r="W135" s="523"/>
      <c r="X135" s="523"/>
      <c r="Y135" s="523"/>
      <c r="Z135" s="523"/>
    </row>
    <row r="136" spans="1:26" ht="15.75" customHeight="1">
      <c r="A136" s="523"/>
      <c r="B136" s="523"/>
      <c r="C136" s="523"/>
      <c r="D136" s="523"/>
      <c r="E136" s="523"/>
      <c r="F136" s="523"/>
      <c r="G136" s="523"/>
      <c r="H136" s="524"/>
      <c r="I136" s="523"/>
      <c r="J136" s="523"/>
      <c r="K136" s="523"/>
      <c r="L136" s="523"/>
      <c r="M136" s="523"/>
      <c r="N136" s="523"/>
      <c r="O136" s="523"/>
      <c r="P136" s="523"/>
      <c r="Q136" s="523"/>
      <c r="R136" s="523"/>
      <c r="S136" s="523"/>
      <c r="T136" s="523"/>
      <c r="U136" s="523"/>
      <c r="V136" s="523"/>
      <c r="W136" s="523"/>
      <c r="X136" s="523"/>
      <c r="Y136" s="523"/>
      <c r="Z136" s="523"/>
    </row>
    <row r="137" spans="1:26" ht="15.75" customHeight="1">
      <c r="A137" s="523"/>
      <c r="B137" s="523"/>
      <c r="C137" s="523"/>
      <c r="D137" s="523"/>
      <c r="E137" s="523"/>
      <c r="F137" s="523"/>
      <c r="G137" s="523"/>
      <c r="H137" s="524"/>
      <c r="I137" s="523"/>
      <c r="J137" s="523"/>
      <c r="K137" s="523"/>
      <c r="L137" s="523"/>
      <c r="M137" s="523"/>
      <c r="N137" s="523"/>
      <c r="O137" s="523"/>
      <c r="P137" s="523"/>
      <c r="Q137" s="523"/>
      <c r="R137" s="523"/>
      <c r="S137" s="523"/>
      <c r="T137" s="523"/>
      <c r="U137" s="523"/>
      <c r="V137" s="523"/>
      <c r="W137" s="523"/>
      <c r="X137" s="523"/>
      <c r="Y137" s="523"/>
      <c r="Z137" s="523"/>
    </row>
    <row r="138" spans="1:26" ht="15.75" customHeight="1">
      <c r="A138" s="523"/>
      <c r="B138" s="523"/>
      <c r="C138" s="523"/>
      <c r="D138" s="523"/>
      <c r="E138" s="523"/>
      <c r="F138" s="523"/>
      <c r="G138" s="523"/>
      <c r="H138" s="524"/>
      <c r="I138" s="523"/>
      <c r="J138" s="523"/>
      <c r="K138" s="523"/>
      <c r="L138" s="523"/>
      <c r="M138" s="523"/>
      <c r="N138" s="523"/>
      <c r="O138" s="523"/>
      <c r="P138" s="523"/>
      <c r="Q138" s="523"/>
      <c r="R138" s="523"/>
      <c r="S138" s="523"/>
      <c r="T138" s="523"/>
      <c r="U138" s="523"/>
      <c r="V138" s="523"/>
      <c r="W138" s="523"/>
      <c r="X138" s="523"/>
      <c r="Y138" s="523"/>
      <c r="Z138" s="523"/>
    </row>
    <row r="139" spans="1:26" ht="15.75" customHeight="1">
      <c r="A139" s="523"/>
      <c r="B139" s="523"/>
      <c r="C139" s="523"/>
      <c r="D139" s="523"/>
      <c r="E139" s="523"/>
      <c r="F139" s="523"/>
      <c r="G139" s="523"/>
      <c r="H139" s="524"/>
      <c r="I139" s="523"/>
      <c r="J139" s="523"/>
      <c r="K139" s="523"/>
      <c r="L139" s="523"/>
      <c r="M139" s="523"/>
      <c r="N139" s="523"/>
      <c r="O139" s="523"/>
      <c r="P139" s="523"/>
      <c r="Q139" s="523"/>
      <c r="R139" s="523"/>
      <c r="S139" s="523"/>
      <c r="T139" s="523"/>
      <c r="U139" s="523"/>
      <c r="V139" s="523"/>
      <c r="W139" s="523"/>
      <c r="X139" s="523"/>
      <c r="Y139" s="523"/>
      <c r="Z139" s="523"/>
    </row>
    <row r="140" spans="1:26" ht="15.75" customHeight="1">
      <c r="A140" s="523"/>
      <c r="B140" s="523"/>
      <c r="C140" s="523"/>
      <c r="D140" s="523"/>
      <c r="E140" s="523"/>
      <c r="F140" s="523"/>
      <c r="G140" s="523"/>
      <c r="H140" s="524"/>
      <c r="I140" s="523"/>
      <c r="J140" s="523"/>
      <c r="K140" s="523"/>
      <c r="L140" s="523"/>
      <c r="M140" s="523"/>
      <c r="N140" s="523"/>
      <c r="O140" s="523"/>
      <c r="P140" s="523"/>
      <c r="Q140" s="523"/>
      <c r="R140" s="523"/>
      <c r="S140" s="523"/>
      <c r="T140" s="523"/>
      <c r="U140" s="523"/>
      <c r="V140" s="523"/>
      <c r="W140" s="523"/>
      <c r="X140" s="523"/>
      <c r="Y140" s="523"/>
      <c r="Z140" s="523"/>
    </row>
    <row r="141" spans="1:26" ht="15.75" customHeight="1">
      <c r="A141" s="523"/>
      <c r="B141" s="523"/>
      <c r="C141" s="523"/>
      <c r="D141" s="523"/>
      <c r="E141" s="523"/>
      <c r="F141" s="523"/>
      <c r="G141" s="523"/>
      <c r="H141" s="524"/>
      <c r="I141" s="523"/>
      <c r="J141" s="523"/>
      <c r="K141" s="523"/>
      <c r="L141" s="523"/>
      <c r="M141" s="523"/>
      <c r="N141" s="523"/>
      <c r="O141" s="523"/>
      <c r="P141" s="523"/>
      <c r="Q141" s="523"/>
      <c r="R141" s="523"/>
      <c r="S141" s="523"/>
      <c r="T141" s="523"/>
      <c r="U141" s="523"/>
      <c r="V141" s="523"/>
      <c r="W141" s="523"/>
      <c r="X141" s="523"/>
      <c r="Y141" s="523"/>
      <c r="Z141" s="523"/>
    </row>
    <row r="142" spans="1:26" ht="15.75" customHeight="1">
      <c r="A142" s="523"/>
      <c r="B142" s="523"/>
      <c r="C142" s="523"/>
      <c r="D142" s="523"/>
      <c r="E142" s="523"/>
      <c r="F142" s="523"/>
      <c r="G142" s="523"/>
      <c r="H142" s="524"/>
      <c r="I142" s="523"/>
      <c r="J142" s="523"/>
      <c r="K142" s="523"/>
      <c r="L142" s="523"/>
      <c r="M142" s="523"/>
      <c r="N142" s="523"/>
      <c r="O142" s="523"/>
      <c r="P142" s="523"/>
      <c r="Q142" s="523"/>
      <c r="R142" s="523"/>
      <c r="S142" s="523"/>
      <c r="T142" s="523"/>
      <c r="U142" s="523"/>
      <c r="V142" s="523"/>
      <c r="W142" s="523"/>
      <c r="X142" s="523"/>
      <c r="Y142" s="523"/>
      <c r="Z142" s="523"/>
    </row>
    <row r="143" spans="1:26" ht="15.75" customHeight="1">
      <c r="A143" s="523"/>
      <c r="B143" s="523"/>
      <c r="C143" s="523"/>
      <c r="D143" s="523"/>
      <c r="E143" s="523"/>
      <c r="F143" s="523"/>
      <c r="G143" s="523"/>
      <c r="H143" s="524"/>
      <c r="I143" s="523"/>
      <c r="J143" s="523"/>
      <c r="K143" s="523"/>
      <c r="L143" s="523"/>
      <c r="M143" s="523"/>
      <c r="N143" s="523"/>
      <c r="O143" s="523"/>
      <c r="P143" s="523"/>
      <c r="Q143" s="523"/>
      <c r="R143" s="523"/>
      <c r="S143" s="523"/>
      <c r="T143" s="523"/>
      <c r="U143" s="523"/>
      <c r="V143" s="523"/>
      <c r="W143" s="523"/>
      <c r="X143" s="523"/>
      <c r="Y143" s="523"/>
      <c r="Z143" s="523"/>
    </row>
    <row r="144" spans="1:26" ht="15.75" customHeight="1">
      <c r="A144" s="523"/>
      <c r="B144" s="523"/>
      <c r="C144" s="523"/>
      <c r="D144" s="523"/>
      <c r="E144" s="523"/>
      <c r="F144" s="523"/>
      <c r="G144" s="523"/>
      <c r="H144" s="524"/>
      <c r="I144" s="523"/>
      <c r="J144" s="523"/>
      <c r="K144" s="523"/>
      <c r="L144" s="523"/>
      <c r="M144" s="523"/>
      <c r="N144" s="523"/>
      <c r="O144" s="523"/>
      <c r="P144" s="523"/>
      <c r="Q144" s="523"/>
      <c r="R144" s="523"/>
      <c r="S144" s="523"/>
      <c r="T144" s="523"/>
      <c r="U144" s="523"/>
      <c r="V144" s="523"/>
      <c r="W144" s="523"/>
      <c r="X144" s="523"/>
      <c r="Y144" s="523"/>
      <c r="Z144" s="523"/>
    </row>
    <row r="145" spans="1:26" ht="15.75" customHeight="1">
      <c r="A145" s="523"/>
      <c r="B145" s="523"/>
      <c r="C145" s="523"/>
      <c r="D145" s="523"/>
      <c r="E145" s="523"/>
      <c r="F145" s="523"/>
      <c r="G145" s="523"/>
      <c r="H145" s="524"/>
      <c r="I145" s="523"/>
      <c r="J145" s="523"/>
      <c r="K145" s="523"/>
      <c r="L145" s="523"/>
      <c r="M145" s="523"/>
      <c r="N145" s="523"/>
      <c r="O145" s="523"/>
      <c r="P145" s="523"/>
      <c r="Q145" s="523"/>
      <c r="R145" s="523"/>
      <c r="S145" s="523"/>
      <c r="T145" s="523"/>
      <c r="U145" s="523"/>
      <c r="V145" s="523"/>
      <c r="W145" s="523"/>
      <c r="X145" s="523"/>
      <c r="Y145" s="523"/>
      <c r="Z145" s="523"/>
    </row>
    <row r="146" spans="1:26" ht="15.75" customHeight="1">
      <c r="A146" s="523"/>
      <c r="B146" s="523"/>
      <c r="C146" s="523"/>
      <c r="D146" s="523"/>
      <c r="E146" s="523"/>
      <c r="F146" s="523"/>
      <c r="G146" s="523"/>
      <c r="H146" s="524"/>
      <c r="I146" s="523"/>
      <c r="J146" s="523"/>
      <c r="K146" s="523"/>
      <c r="L146" s="523"/>
      <c r="M146" s="523"/>
      <c r="N146" s="523"/>
      <c r="O146" s="523"/>
      <c r="P146" s="523"/>
      <c r="Q146" s="523"/>
      <c r="R146" s="523"/>
      <c r="S146" s="523"/>
      <c r="T146" s="523"/>
      <c r="U146" s="523"/>
      <c r="V146" s="523"/>
      <c r="W146" s="523"/>
      <c r="X146" s="523"/>
      <c r="Y146" s="523"/>
      <c r="Z146" s="523"/>
    </row>
    <row r="147" spans="1:26" ht="15.75" customHeight="1">
      <c r="A147" s="523"/>
      <c r="B147" s="523"/>
      <c r="C147" s="523"/>
      <c r="D147" s="523"/>
      <c r="E147" s="523"/>
      <c r="F147" s="523"/>
      <c r="G147" s="523"/>
      <c r="H147" s="524"/>
      <c r="I147" s="523"/>
      <c r="J147" s="523"/>
      <c r="K147" s="523"/>
      <c r="L147" s="523"/>
      <c r="M147" s="523"/>
      <c r="N147" s="523"/>
      <c r="O147" s="523"/>
      <c r="P147" s="523"/>
      <c r="Q147" s="523"/>
      <c r="R147" s="523"/>
      <c r="S147" s="523"/>
      <c r="T147" s="523"/>
      <c r="U147" s="523"/>
      <c r="V147" s="523"/>
      <c r="W147" s="523"/>
      <c r="X147" s="523"/>
      <c r="Y147" s="523"/>
      <c r="Z147" s="523"/>
    </row>
    <row r="148" spans="1:26" ht="15.75" customHeight="1">
      <c r="A148" s="523"/>
      <c r="B148" s="523"/>
      <c r="C148" s="523"/>
      <c r="D148" s="523"/>
      <c r="E148" s="523"/>
      <c r="F148" s="523"/>
      <c r="G148" s="523"/>
      <c r="H148" s="524"/>
      <c r="I148" s="523"/>
      <c r="J148" s="523"/>
      <c r="K148" s="523"/>
      <c r="L148" s="523"/>
      <c r="M148" s="523"/>
      <c r="N148" s="523"/>
      <c r="O148" s="523"/>
      <c r="P148" s="523"/>
      <c r="Q148" s="523"/>
      <c r="R148" s="523"/>
      <c r="S148" s="523"/>
      <c r="T148" s="523"/>
      <c r="U148" s="523"/>
      <c r="V148" s="523"/>
      <c r="W148" s="523"/>
      <c r="X148" s="523"/>
      <c r="Y148" s="523"/>
      <c r="Z148" s="523"/>
    </row>
    <row r="149" spans="1:26" ht="15.75" customHeight="1">
      <c r="A149" s="523"/>
      <c r="B149" s="523"/>
      <c r="C149" s="523"/>
      <c r="D149" s="523"/>
      <c r="E149" s="523"/>
      <c r="F149" s="523"/>
      <c r="G149" s="523"/>
      <c r="H149" s="524"/>
      <c r="I149" s="523"/>
      <c r="J149" s="523"/>
      <c r="K149" s="523"/>
      <c r="L149" s="523"/>
      <c r="M149" s="523"/>
      <c r="N149" s="523"/>
      <c r="O149" s="523"/>
      <c r="P149" s="523"/>
      <c r="Q149" s="523"/>
      <c r="R149" s="523"/>
      <c r="S149" s="523"/>
      <c r="T149" s="523"/>
      <c r="U149" s="523"/>
      <c r="V149" s="523"/>
      <c r="W149" s="523"/>
      <c r="X149" s="523"/>
      <c r="Y149" s="523"/>
      <c r="Z149" s="523"/>
    </row>
    <row r="150" spans="1:26" ht="15.75" customHeight="1">
      <c r="A150" s="523"/>
      <c r="B150" s="523"/>
      <c r="C150" s="523"/>
      <c r="D150" s="523"/>
      <c r="E150" s="523"/>
      <c r="F150" s="523"/>
      <c r="G150" s="523"/>
      <c r="H150" s="524"/>
      <c r="I150" s="523"/>
      <c r="J150" s="523"/>
      <c r="K150" s="523"/>
      <c r="L150" s="523"/>
      <c r="M150" s="523"/>
      <c r="N150" s="523"/>
      <c r="O150" s="523"/>
      <c r="P150" s="523"/>
      <c r="Q150" s="523"/>
      <c r="R150" s="523"/>
      <c r="S150" s="523"/>
      <c r="T150" s="523"/>
      <c r="U150" s="523"/>
      <c r="V150" s="523"/>
      <c r="W150" s="523"/>
      <c r="X150" s="523"/>
      <c r="Y150" s="523"/>
      <c r="Z150" s="523"/>
    </row>
    <row r="151" spans="1:26" ht="15.75" customHeight="1">
      <c r="A151" s="523"/>
      <c r="B151" s="523"/>
      <c r="C151" s="523"/>
      <c r="D151" s="523"/>
      <c r="E151" s="523"/>
      <c r="F151" s="523"/>
      <c r="G151" s="523"/>
      <c r="H151" s="524"/>
      <c r="I151" s="523"/>
      <c r="J151" s="523"/>
      <c r="K151" s="523"/>
      <c r="L151" s="523"/>
      <c r="M151" s="523"/>
      <c r="N151" s="523"/>
      <c r="O151" s="523"/>
      <c r="P151" s="523"/>
      <c r="Q151" s="523"/>
      <c r="R151" s="523"/>
      <c r="S151" s="523"/>
      <c r="T151" s="523"/>
      <c r="U151" s="523"/>
      <c r="V151" s="523"/>
      <c r="W151" s="523"/>
      <c r="X151" s="523"/>
      <c r="Y151" s="523"/>
      <c r="Z151" s="523"/>
    </row>
    <row r="152" spans="1:26" ht="15.75" customHeight="1">
      <c r="A152" s="523"/>
      <c r="B152" s="523"/>
      <c r="C152" s="523"/>
      <c r="D152" s="523"/>
      <c r="E152" s="523"/>
      <c r="F152" s="523"/>
      <c r="G152" s="523"/>
      <c r="H152" s="524"/>
      <c r="I152" s="523"/>
      <c r="J152" s="523"/>
      <c r="K152" s="523"/>
      <c r="L152" s="523"/>
      <c r="M152" s="523"/>
      <c r="N152" s="523"/>
      <c r="O152" s="523"/>
      <c r="P152" s="523"/>
      <c r="Q152" s="523"/>
      <c r="R152" s="523"/>
      <c r="S152" s="523"/>
      <c r="T152" s="523"/>
      <c r="U152" s="523"/>
      <c r="V152" s="523"/>
      <c r="W152" s="523"/>
      <c r="X152" s="523"/>
      <c r="Y152" s="523"/>
      <c r="Z152" s="523"/>
    </row>
    <row r="153" spans="1:26" ht="15.75" customHeight="1">
      <c r="A153" s="523"/>
      <c r="B153" s="523"/>
      <c r="C153" s="523"/>
      <c r="D153" s="523"/>
      <c r="E153" s="523"/>
      <c r="F153" s="523"/>
      <c r="G153" s="523"/>
      <c r="H153" s="524"/>
      <c r="I153" s="523"/>
      <c r="J153" s="523"/>
      <c r="K153" s="523"/>
      <c r="L153" s="523"/>
      <c r="M153" s="523"/>
      <c r="N153" s="523"/>
      <c r="O153" s="523"/>
      <c r="P153" s="523"/>
      <c r="Q153" s="523"/>
      <c r="R153" s="523"/>
      <c r="S153" s="523"/>
      <c r="T153" s="523"/>
      <c r="U153" s="523"/>
      <c r="V153" s="523"/>
      <c r="W153" s="523"/>
      <c r="X153" s="523"/>
      <c r="Y153" s="523"/>
      <c r="Z153" s="523"/>
    </row>
    <row r="154" spans="1:26" ht="15.75" customHeight="1">
      <c r="A154" s="523"/>
      <c r="B154" s="523"/>
      <c r="C154" s="523"/>
      <c r="D154" s="523"/>
      <c r="E154" s="523"/>
      <c r="F154" s="523"/>
      <c r="G154" s="523"/>
      <c r="H154" s="524"/>
      <c r="I154" s="523"/>
      <c r="J154" s="523"/>
      <c r="K154" s="523"/>
      <c r="L154" s="523"/>
      <c r="M154" s="523"/>
      <c r="N154" s="523"/>
      <c r="O154" s="523"/>
      <c r="P154" s="523"/>
      <c r="Q154" s="523"/>
      <c r="R154" s="523"/>
      <c r="S154" s="523"/>
      <c r="T154" s="523"/>
      <c r="U154" s="523"/>
      <c r="V154" s="523"/>
      <c r="W154" s="523"/>
      <c r="X154" s="523"/>
      <c r="Y154" s="523"/>
      <c r="Z154" s="523"/>
    </row>
    <row r="155" spans="1:26" ht="15.75" customHeight="1">
      <c r="A155" s="523"/>
      <c r="B155" s="523"/>
      <c r="C155" s="523"/>
      <c r="D155" s="523"/>
      <c r="E155" s="523"/>
      <c r="F155" s="523"/>
      <c r="G155" s="523"/>
      <c r="H155" s="524"/>
      <c r="I155" s="523"/>
      <c r="J155" s="523"/>
      <c r="K155" s="523"/>
      <c r="L155" s="523"/>
      <c r="M155" s="523"/>
      <c r="N155" s="523"/>
      <c r="O155" s="523"/>
      <c r="P155" s="523"/>
      <c r="Q155" s="523"/>
      <c r="R155" s="523"/>
      <c r="S155" s="523"/>
      <c r="T155" s="523"/>
      <c r="U155" s="523"/>
      <c r="V155" s="523"/>
      <c r="W155" s="523"/>
      <c r="X155" s="523"/>
      <c r="Y155" s="523"/>
      <c r="Z155" s="523"/>
    </row>
    <row r="156" spans="1:26" ht="15.75" customHeight="1">
      <c r="A156" s="523"/>
      <c r="B156" s="523"/>
      <c r="C156" s="523"/>
      <c r="D156" s="523"/>
      <c r="E156" s="523"/>
      <c r="F156" s="523"/>
      <c r="G156" s="523"/>
      <c r="H156" s="524"/>
      <c r="I156" s="523"/>
      <c r="J156" s="523"/>
      <c r="K156" s="523"/>
      <c r="L156" s="523"/>
      <c r="M156" s="523"/>
      <c r="N156" s="523"/>
      <c r="O156" s="523"/>
      <c r="P156" s="523"/>
      <c r="Q156" s="523"/>
      <c r="R156" s="523"/>
      <c r="S156" s="523"/>
      <c r="T156" s="523"/>
      <c r="U156" s="523"/>
      <c r="V156" s="523"/>
      <c r="W156" s="523"/>
      <c r="X156" s="523"/>
      <c r="Y156" s="523"/>
      <c r="Z156" s="523"/>
    </row>
    <row r="157" spans="1:26" ht="15.75" customHeight="1">
      <c r="A157" s="523"/>
      <c r="B157" s="523"/>
      <c r="C157" s="523"/>
      <c r="D157" s="523"/>
      <c r="E157" s="523"/>
      <c r="F157" s="523"/>
      <c r="G157" s="523"/>
      <c r="H157" s="524"/>
      <c r="I157" s="523"/>
      <c r="J157" s="523"/>
      <c r="K157" s="523"/>
      <c r="L157" s="523"/>
      <c r="M157" s="523"/>
      <c r="N157" s="523"/>
      <c r="O157" s="523"/>
      <c r="P157" s="523"/>
      <c r="Q157" s="523"/>
      <c r="R157" s="523"/>
      <c r="S157" s="523"/>
      <c r="T157" s="523"/>
      <c r="U157" s="523"/>
      <c r="V157" s="523"/>
      <c r="W157" s="523"/>
      <c r="X157" s="523"/>
      <c r="Y157" s="523"/>
      <c r="Z157" s="523"/>
    </row>
    <row r="158" spans="1:26" ht="15.75" customHeight="1">
      <c r="A158" s="523"/>
      <c r="B158" s="523"/>
      <c r="C158" s="523"/>
      <c r="D158" s="523"/>
      <c r="E158" s="523"/>
      <c r="F158" s="523"/>
      <c r="G158" s="523"/>
      <c r="H158" s="524"/>
      <c r="I158" s="523"/>
      <c r="J158" s="523"/>
      <c r="K158" s="523"/>
      <c r="L158" s="523"/>
      <c r="M158" s="523"/>
      <c r="N158" s="523"/>
      <c r="O158" s="523"/>
      <c r="P158" s="523"/>
      <c r="Q158" s="523"/>
      <c r="R158" s="523"/>
      <c r="S158" s="523"/>
      <c r="T158" s="523"/>
      <c r="U158" s="523"/>
      <c r="V158" s="523"/>
      <c r="W158" s="523"/>
      <c r="X158" s="523"/>
      <c r="Y158" s="523"/>
      <c r="Z158" s="523"/>
    </row>
    <row r="159" spans="1:26" ht="15.75" customHeight="1">
      <c r="A159" s="523"/>
      <c r="B159" s="523"/>
      <c r="C159" s="523"/>
      <c r="D159" s="523"/>
      <c r="E159" s="523"/>
      <c r="F159" s="523"/>
      <c r="G159" s="523"/>
      <c r="H159" s="524"/>
      <c r="I159" s="523"/>
      <c r="J159" s="523"/>
      <c r="K159" s="523"/>
      <c r="L159" s="523"/>
      <c r="M159" s="523"/>
      <c r="N159" s="523"/>
      <c r="O159" s="523"/>
      <c r="P159" s="523"/>
      <c r="Q159" s="523"/>
      <c r="R159" s="523"/>
      <c r="S159" s="523"/>
      <c r="T159" s="523"/>
      <c r="U159" s="523"/>
      <c r="V159" s="523"/>
      <c r="W159" s="523"/>
      <c r="X159" s="523"/>
      <c r="Y159" s="523"/>
      <c r="Z159" s="523"/>
    </row>
    <row r="160" spans="1:26" ht="15.75" customHeight="1">
      <c r="A160" s="523"/>
      <c r="B160" s="523"/>
      <c r="C160" s="523"/>
      <c r="D160" s="523"/>
      <c r="E160" s="523"/>
      <c r="F160" s="523"/>
      <c r="G160" s="523"/>
      <c r="H160" s="524"/>
      <c r="I160" s="523"/>
      <c r="J160" s="523"/>
      <c r="K160" s="523"/>
      <c r="L160" s="523"/>
      <c r="M160" s="523"/>
      <c r="N160" s="523"/>
      <c r="O160" s="523"/>
      <c r="P160" s="523"/>
      <c r="Q160" s="523"/>
      <c r="R160" s="523"/>
      <c r="S160" s="523"/>
      <c r="T160" s="523"/>
      <c r="U160" s="523"/>
      <c r="V160" s="523"/>
      <c r="W160" s="523"/>
      <c r="X160" s="523"/>
      <c r="Y160" s="523"/>
      <c r="Z160" s="523"/>
    </row>
    <row r="161" spans="1:26" ht="15.75" customHeight="1">
      <c r="A161" s="523"/>
      <c r="B161" s="523"/>
      <c r="C161" s="523"/>
      <c r="D161" s="523"/>
      <c r="E161" s="523"/>
      <c r="F161" s="523"/>
      <c r="G161" s="523"/>
      <c r="H161" s="524"/>
      <c r="I161" s="523"/>
      <c r="J161" s="523"/>
      <c r="K161" s="523"/>
      <c r="L161" s="523"/>
      <c r="M161" s="523"/>
      <c r="N161" s="523"/>
      <c r="O161" s="523"/>
      <c r="P161" s="523"/>
      <c r="Q161" s="523"/>
      <c r="R161" s="523"/>
      <c r="S161" s="523"/>
      <c r="T161" s="523"/>
      <c r="U161" s="523"/>
      <c r="V161" s="523"/>
      <c r="W161" s="523"/>
      <c r="X161" s="523"/>
      <c r="Y161" s="523"/>
      <c r="Z161" s="523"/>
    </row>
    <row r="162" spans="1:26" ht="15.75" customHeight="1">
      <c r="A162" s="523"/>
      <c r="B162" s="523"/>
      <c r="C162" s="523"/>
      <c r="D162" s="523"/>
      <c r="E162" s="523"/>
      <c r="F162" s="523"/>
      <c r="G162" s="523"/>
      <c r="H162" s="524"/>
      <c r="I162" s="523"/>
      <c r="J162" s="523"/>
      <c r="K162" s="523"/>
      <c r="L162" s="523"/>
      <c r="M162" s="523"/>
      <c r="N162" s="523"/>
      <c r="O162" s="523"/>
      <c r="P162" s="523"/>
      <c r="Q162" s="523"/>
      <c r="R162" s="523"/>
      <c r="S162" s="523"/>
      <c r="T162" s="523"/>
      <c r="U162" s="523"/>
      <c r="V162" s="523"/>
      <c r="W162" s="523"/>
      <c r="X162" s="523"/>
      <c r="Y162" s="523"/>
      <c r="Z162" s="523"/>
    </row>
    <row r="163" spans="1:26" ht="15.75" customHeight="1">
      <c r="A163" s="523"/>
      <c r="B163" s="523"/>
      <c r="C163" s="523"/>
      <c r="D163" s="523"/>
      <c r="E163" s="523"/>
      <c r="F163" s="523"/>
      <c r="G163" s="523"/>
      <c r="H163" s="524"/>
      <c r="I163" s="523"/>
      <c r="J163" s="523"/>
      <c r="K163" s="523"/>
      <c r="L163" s="523"/>
      <c r="M163" s="523"/>
      <c r="N163" s="523"/>
      <c r="O163" s="523"/>
      <c r="P163" s="523"/>
      <c r="Q163" s="523"/>
      <c r="R163" s="523"/>
      <c r="S163" s="523"/>
      <c r="T163" s="523"/>
      <c r="U163" s="523"/>
      <c r="V163" s="523"/>
      <c r="W163" s="523"/>
      <c r="X163" s="523"/>
      <c r="Y163" s="523"/>
      <c r="Z163" s="523"/>
    </row>
    <row r="164" spans="1:26" ht="15.75" customHeight="1">
      <c r="A164" s="523"/>
      <c r="B164" s="523"/>
      <c r="C164" s="523"/>
      <c r="D164" s="523"/>
      <c r="E164" s="523"/>
      <c r="F164" s="523"/>
      <c r="G164" s="523"/>
      <c r="H164" s="524"/>
      <c r="I164" s="523"/>
      <c r="J164" s="523"/>
      <c r="K164" s="523"/>
      <c r="L164" s="523"/>
      <c r="M164" s="523"/>
      <c r="N164" s="523"/>
      <c r="O164" s="523"/>
      <c r="P164" s="523"/>
      <c r="Q164" s="523"/>
      <c r="R164" s="523"/>
      <c r="S164" s="523"/>
      <c r="T164" s="523"/>
      <c r="U164" s="523"/>
      <c r="V164" s="523"/>
      <c r="W164" s="523"/>
      <c r="X164" s="523"/>
      <c r="Y164" s="523"/>
      <c r="Z164" s="523"/>
    </row>
    <row r="165" spans="1:26" ht="15.75" customHeight="1">
      <c r="A165" s="523"/>
      <c r="B165" s="523"/>
      <c r="C165" s="523"/>
      <c r="D165" s="523"/>
      <c r="E165" s="523"/>
      <c r="F165" s="523"/>
      <c r="G165" s="523"/>
      <c r="H165" s="524"/>
      <c r="I165" s="523"/>
      <c r="J165" s="523"/>
      <c r="K165" s="523"/>
      <c r="L165" s="523"/>
      <c r="M165" s="523"/>
      <c r="N165" s="523"/>
      <c r="O165" s="523"/>
      <c r="P165" s="523"/>
      <c r="Q165" s="523"/>
      <c r="R165" s="523"/>
      <c r="S165" s="523"/>
      <c r="T165" s="523"/>
      <c r="U165" s="523"/>
      <c r="V165" s="523"/>
      <c r="W165" s="523"/>
      <c r="X165" s="523"/>
      <c r="Y165" s="523"/>
      <c r="Z165" s="523"/>
    </row>
    <row r="166" spans="1:26" ht="15.75" customHeight="1">
      <c r="A166" s="523"/>
      <c r="B166" s="523"/>
      <c r="C166" s="523"/>
      <c r="D166" s="523"/>
      <c r="E166" s="523"/>
      <c r="F166" s="523"/>
      <c r="G166" s="523"/>
      <c r="H166" s="524"/>
      <c r="I166" s="523"/>
      <c r="J166" s="523"/>
      <c r="K166" s="523"/>
      <c r="L166" s="523"/>
      <c r="M166" s="523"/>
      <c r="N166" s="523"/>
      <c r="O166" s="523"/>
      <c r="P166" s="523"/>
      <c r="Q166" s="523"/>
      <c r="R166" s="523"/>
      <c r="S166" s="523"/>
      <c r="T166" s="523"/>
      <c r="U166" s="523"/>
      <c r="V166" s="523"/>
      <c r="W166" s="523"/>
      <c r="X166" s="523"/>
      <c r="Y166" s="523"/>
      <c r="Z166" s="523"/>
    </row>
    <row r="167" spans="1:26" ht="15.75" customHeight="1">
      <c r="A167" s="523"/>
      <c r="B167" s="523"/>
      <c r="C167" s="523"/>
      <c r="D167" s="523"/>
      <c r="E167" s="523"/>
      <c r="F167" s="523"/>
      <c r="G167" s="523"/>
      <c r="H167" s="524"/>
      <c r="I167" s="523"/>
      <c r="J167" s="523"/>
      <c r="K167" s="523"/>
      <c r="L167" s="523"/>
      <c r="M167" s="523"/>
      <c r="N167" s="523"/>
      <c r="O167" s="523"/>
      <c r="P167" s="523"/>
      <c r="Q167" s="523"/>
      <c r="R167" s="523"/>
      <c r="S167" s="523"/>
      <c r="T167" s="523"/>
      <c r="U167" s="523"/>
      <c r="V167" s="523"/>
      <c r="W167" s="523"/>
      <c r="X167" s="523"/>
      <c r="Y167" s="523"/>
      <c r="Z167" s="523"/>
    </row>
    <row r="168" spans="1:26" ht="15.75" customHeight="1">
      <c r="A168" s="523"/>
      <c r="B168" s="523"/>
      <c r="C168" s="523"/>
      <c r="D168" s="523"/>
      <c r="E168" s="523"/>
      <c r="F168" s="523"/>
      <c r="G168" s="523"/>
      <c r="H168" s="524"/>
      <c r="I168" s="523"/>
      <c r="J168" s="523"/>
      <c r="K168" s="523"/>
      <c r="L168" s="523"/>
      <c r="M168" s="523"/>
      <c r="N168" s="523"/>
      <c r="O168" s="523"/>
      <c r="P168" s="523"/>
      <c r="Q168" s="523"/>
      <c r="R168" s="523"/>
      <c r="S168" s="523"/>
      <c r="T168" s="523"/>
      <c r="U168" s="523"/>
      <c r="V168" s="523"/>
      <c r="W168" s="523"/>
      <c r="X168" s="523"/>
      <c r="Y168" s="523"/>
      <c r="Z168" s="523"/>
    </row>
    <row r="169" spans="1:26" ht="15.75" customHeight="1">
      <c r="A169" s="523"/>
      <c r="B169" s="523"/>
      <c r="C169" s="523"/>
      <c r="D169" s="523"/>
      <c r="E169" s="523"/>
      <c r="F169" s="523"/>
      <c r="G169" s="523"/>
      <c r="H169" s="524"/>
      <c r="I169" s="523"/>
      <c r="J169" s="523"/>
      <c r="K169" s="523"/>
      <c r="L169" s="523"/>
      <c r="M169" s="523"/>
      <c r="N169" s="523"/>
      <c r="O169" s="523"/>
      <c r="P169" s="523"/>
      <c r="Q169" s="523"/>
      <c r="R169" s="523"/>
      <c r="S169" s="523"/>
      <c r="T169" s="523"/>
      <c r="U169" s="523"/>
      <c r="V169" s="523"/>
      <c r="W169" s="523"/>
      <c r="X169" s="523"/>
      <c r="Y169" s="523"/>
      <c r="Z169" s="523"/>
    </row>
    <row r="170" spans="1:26" ht="15.75" customHeight="1">
      <c r="A170" s="523"/>
      <c r="B170" s="523"/>
      <c r="C170" s="523"/>
      <c r="D170" s="523"/>
      <c r="E170" s="523"/>
      <c r="F170" s="523"/>
      <c r="G170" s="523"/>
      <c r="H170" s="524"/>
      <c r="I170" s="523"/>
      <c r="J170" s="523"/>
      <c r="K170" s="523"/>
      <c r="L170" s="523"/>
      <c r="M170" s="523"/>
      <c r="N170" s="523"/>
      <c r="O170" s="523"/>
      <c r="P170" s="523"/>
      <c r="Q170" s="523"/>
      <c r="R170" s="523"/>
      <c r="S170" s="523"/>
      <c r="T170" s="523"/>
      <c r="U170" s="523"/>
      <c r="V170" s="523"/>
      <c r="W170" s="523"/>
      <c r="X170" s="523"/>
      <c r="Y170" s="523"/>
      <c r="Z170" s="523"/>
    </row>
    <row r="171" spans="1:26" ht="15.75" customHeight="1">
      <c r="A171" s="523"/>
      <c r="B171" s="523"/>
      <c r="C171" s="523"/>
      <c r="D171" s="523"/>
      <c r="E171" s="523"/>
      <c r="F171" s="523"/>
      <c r="G171" s="523"/>
      <c r="H171" s="524"/>
      <c r="I171" s="523"/>
      <c r="J171" s="523"/>
      <c r="K171" s="523"/>
      <c r="L171" s="523"/>
      <c r="M171" s="523"/>
      <c r="N171" s="523"/>
      <c r="O171" s="523"/>
      <c r="P171" s="523"/>
      <c r="Q171" s="523"/>
      <c r="R171" s="523"/>
      <c r="S171" s="523"/>
      <c r="T171" s="523"/>
      <c r="U171" s="523"/>
      <c r="V171" s="523"/>
      <c r="W171" s="523"/>
      <c r="X171" s="523"/>
      <c r="Y171" s="523"/>
      <c r="Z171" s="523"/>
    </row>
    <row r="172" spans="1:26" ht="15.75" customHeight="1">
      <c r="A172" s="523"/>
      <c r="B172" s="523"/>
      <c r="C172" s="523"/>
      <c r="D172" s="523"/>
      <c r="E172" s="523"/>
      <c r="F172" s="523"/>
      <c r="G172" s="523"/>
      <c r="H172" s="524"/>
      <c r="I172" s="523"/>
      <c r="J172" s="523"/>
      <c r="K172" s="523"/>
      <c r="L172" s="523"/>
      <c r="M172" s="523"/>
      <c r="N172" s="523"/>
      <c r="O172" s="523"/>
      <c r="P172" s="523"/>
      <c r="Q172" s="523"/>
      <c r="R172" s="523"/>
      <c r="S172" s="523"/>
      <c r="T172" s="523"/>
      <c r="U172" s="523"/>
      <c r="V172" s="523"/>
      <c r="W172" s="523"/>
      <c r="X172" s="523"/>
      <c r="Y172" s="523"/>
      <c r="Z172" s="523"/>
    </row>
    <row r="173" spans="1:26" ht="15.75" customHeight="1">
      <c r="A173" s="523"/>
      <c r="B173" s="523"/>
      <c r="C173" s="523"/>
      <c r="D173" s="523"/>
      <c r="E173" s="523"/>
      <c r="F173" s="523"/>
      <c r="G173" s="523"/>
      <c r="H173" s="524"/>
      <c r="I173" s="523"/>
      <c r="J173" s="523"/>
      <c r="K173" s="523"/>
      <c r="L173" s="523"/>
      <c r="M173" s="523"/>
      <c r="N173" s="523"/>
      <c r="O173" s="523"/>
      <c r="P173" s="523"/>
      <c r="Q173" s="523"/>
      <c r="R173" s="523"/>
      <c r="S173" s="523"/>
      <c r="T173" s="523"/>
      <c r="U173" s="523"/>
      <c r="V173" s="523"/>
      <c r="W173" s="523"/>
      <c r="X173" s="523"/>
      <c r="Y173" s="523"/>
      <c r="Z173" s="523"/>
    </row>
    <row r="174" spans="1:26" ht="15.75" customHeight="1">
      <c r="A174" s="523"/>
      <c r="B174" s="523"/>
      <c r="C174" s="523"/>
      <c r="D174" s="523"/>
      <c r="E174" s="523"/>
      <c r="F174" s="523"/>
      <c r="G174" s="523"/>
      <c r="H174" s="524"/>
      <c r="I174" s="523"/>
      <c r="J174" s="523"/>
      <c r="K174" s="523"/>
      <c r="L174" s="523"/>
      <c r="M174" s="523"/>
      <c r="N174" s="523"/>
      <c r="O174" s="523"/>
      <c r="P174" s="523"/>
      <c r="Q174" s="523"/>
      <c r="R174" s="523"/>
      <c r="S174" s="523"/>
      <c r="T174" s="523"/>
      <c r="U174" s="523"/>
      <c r="V174" s="523"/>
      <c r="W174" s="523"/>
      <c r="X174" s="523"/>
      <c r="Y174" s="523"/>
      <c r="Z174" s="523"/>
    </row>
    <row r="175" spans="1:26" ht="15.75" customHeight="1">
      <c r="A175" s="523"/>
      <c r="B175" s="523"/>
      <c r="C175" s="523"/>
      <c r="D175" s="523"/>
      <c r="E175" s="523"/>
      <c r="F175" s="523"/>
      <c r="G175" s="523"/>
      <c r="H175" s="524"/>
      <c r="I175" s="523"/>
      <c r="J175" s="523"/>
      <c r="K175" s="523"/>
      <c r="L175" s="523"/>
      <c r="M175" s="523"/>
      <c r="N175" s="523"/>
      <c r="O175" s="523"/>
      <c r="P175" s="523"/>
      <c r="Q175" s="523"/>
      <c r="R175" s="523"/>
      <c r="S175" s="523"/>
      <c r="T175" s="523"/>
      <c r="U175" s="523"/>
      <c r="V175" s="523"/>
      <c r="W175" s="523"/>
      <c r="X175" s="523"/>
      <c r="Y175" s="523"/>
      <c r="Z175" s="523"/>
    </row>
    <row r="176" spans="1:26" ht="15.75" customHeight="1">
      <c r="A176" s="523"/>
      <c r="B176" s="523"/>
      <c r="C176" s="523"/>
      <c r="D176" s="523"/>
      <c r="E176" s="523"/>
      <c r="F176" s="523"/>
      <c r="G176" s="523"/>
      <c r="H176" s="524"/>
      <c r="I176" s="523"/>
      <c r="J176" s="523"/>
      <c r="K176" s="523"/>
      <c r="L176" s="523"/>
      <c r="M176" s="523"/>
      <c r="N176" s="523"/>
      <c r="O176" s="523"/>
      <c r="P176" s="523"/>
      <c r="Q176" s="523"/>
      <c r="R176" s="523"/>
      <c r="S176" s="523"/>
      <c r="T176" s="523"/>
      <c r="U176" s="523"/>
      <c r="V176" s="523"/>
      <c r="W176" s="523"/>
      <c r="X176" s="523"/>
      <c r="Y176" s="523"/>
      <c r="Z176" s="523"/>
    </row>
    <row r="177" spans="1:26" ht="15.75" customHeight="1">
      <c r="A177" s="523"/>
      <c r="B177" s="523"/>
      <c r="C177" s="523"/>
      <c r="D177" s="523"/>
      <c r="E177" s="523"/>
      <c r="F177" s="523"/>
      <c r="G177" s="523"/>
      <c r="H177" s="524"/>
      <c r="I177" s="523"/>
      <c r="J177" s="523"/>
      <c r="K177" s="523"/>
      <c r="L177" s="523"/>
      <c r="M177" s="523"/>
      <c r="N177" s="523"/>
      <c r="O177" s="523"/>
      <c r="P177" s="523"/>
      <c r="Q177" s="523"/>
      <c r="R177" s="523"/>
      <c r="S177" s="523"/>
      <c r="T177" s="523"/>
      <c r="U177" s="523"/>
      <c r="V177" s="523"/>
      <c r="W177" s="523"/>
      <c r="X177" s="523"/>
      <c r="Y177" s="523"/>
      <c r="Z177" s="523"/>
    </row>
    <row r="178" spans="1:26" ht="15.75" customHeight="1">
      <c r="A178" s="523"/>
      <c r="B178" s="523"/>
      <c r="C178" s="523"/>
      <c r="D178" s="523"/>
      <c r="E178" s="523"/>
      <c r="F178" s="523"/>
      <c r="G178" s="523"/>
      <c r="H178" s="524"/>
      <c r="I178" s="523"/>
      <c r="J178" s="523"/>
      <c r="K178" s="523"/>
      <c r="L178" s="523"/>
      <c r="M178" s="523"/>
      <c r="N178" s="523"/>
      <c r="O178" s="523"/>
      <c r="P178" s="523"/>
      <c r="Q178" s="523"/>
      <c r="R178" s="523"/>
      <c r="S178" s="523"/>
      <c r="T178" s="523"/>
      <c r="U178" s="523"/>
      <c r="V178" s="523"/>
      <c r="W178" s="523"/>
      <c r="X178" s="523"/>
      <c r="Y178" s="523"/>
      <c r="Z178" s="523"/>
    </row>
    <row r="179" spans="1:26" ht="15.75" customHeight="1">
      <c r="A179" s="523"/>
      <c r="B179" s="523"/>
      <c r="C179" s="523"/>
      <c r="D179" s="523"/>
      <c r="E179" s="523"/>
      <c r="F179" s="523"/>
      <c r="G179" s="523"/>
      <c r="H179" s="524"/>
      <c r="I179" s="523"/>
      <c r="J179" s="523"/>
      <c r="K179" s="523"/>
      <c r="L179" s="523"/>
      <c r="M179" s="523"/>
      <c r="N179" s="523"/>
      <c r="O179" s="523"/>
      <c r="P179" s="523"/>
      <c r="Q179" s="523"/>
      <c r="R179" s="523"/>
      <c r="S179" s="523"/>
      <c r="T179" s="523"/>
      <c r="U179" s="523"/>
      <c r="V179" s="523"/>
      <c r="W179" s="523"/>
      <c r="X179" s="523"/>
      <c r="Y179" s="523"/>
      <c r="Z179" s="523"/>
    </row>
    <row r="180" spans="1:26" ht="15.75" customHeight="1">
      <c r="A180" s="523"/>
      <c r="B180" s="523"/>
      <c r="C180" s="523"/>
      <c r="D180" s="523"/>
      <c r="E180" s="523"/>
      <c r="F180" s="523"/>
      <c r="G180" s="523"/>
      <c r="H180" s="524"/>
      <c r="I180" s="523"/>
      <c r="J180" s="523"/>
      <c r="K180" s="523"/>
      <c r="L180" s="523"/>
      <c r="M180" s="523"/>
      <c r="N180" s="523"/>
      <c r="O180" s="523"/>
      <c r="P180" s="523"/>
      <c r="Q180" s="523"/>
      <c r="R180" s="523"/>
      <c r="S180" s="523"/>
      <c r="T180" s="523"/>
      <c r="U180" s="523"/>
      <c r="V180" s="523"/>
      <c r="W180" s="523"/>
      <c r="X180" s="523"/>
      <c r="Y180" s="523"/>
      <c r="Z180" s="523"/>
    </row>
    <row r="181" spans="1:26" ht="15.75" customHeight="1">
      <c r="A181" s="523"/>
      <c r="B181" s="523"/>
      <c r="C181" s="523"/>
      <c r="D181" s="523"/>
      <c r="E181" s="523"/>
      <c r="F181" s="523"/>
      <c r="G181" s="523"/>
      <c r="H181" s="524"/>
      <c r="I181" s="523"/>
      <c r="J181" s="523"/>
      <c r="K181" s="523"/>
      <c r="L181" s="523"/>
      <c r="M181" s="523"/>
      <c r="N181" s="523"/>
      <c r="O181" s="523"/>
      <c r="P181" s="523"/>
      <c r="Q181" s="523"/>
      <c r="R181" s="523"/>
      <c r="S181" s="523"/>
      <c r="T181" s="523"/>
      <c r="U181" s="523"/>
      <c r="V181" s="523"/>
      <c r="W181" s="523"/>
      <c r="X181" s="523"/>
      <c r="Y181" s="523"/>
      <c r="Z181" s="523"/>
    </row>
    <row r="182" spans="1:26" ht="15.75" customHeight="1">
      <c r="A182" s="523"/>
      <c r="B182" s="523"/>
      <c r="C182" s="523"/>
      <c r="D182" s="523"/>
      <c r="E182" s="523"/>
      <c r="F182" s="523"/>
      <c r="G182" s="523"/>
      <c r="H182" s="524"/>
      <c r="I182" s="523"/>
      <c r="J182" s="523"/>
      <c r="K182" s="523"/>
      <c r="L182" s="523"/>
      <c r="M182" s="523"/>
      <c r="N182" s="523"/>
      <c r="O182" s="523"/>
      <c r="P182" s="523"/>
      <c r="Q182" s="523"/>
      <c r="R182" s="523"/>
      <c r="S182" s="523"/>
      <c r="T182" s="523"/>
      <c r="U182" s="523"/>
      <c r="V182" s="523"/>
      <c r="W182" s="523"/>
      <c r="X182" s="523"/>
      <c r="Y182" s="523"/>
      <c r="Z182" s="523"/>
    </row>
    <row r="183" spans="1:26" ht="15.75" customHeight="1">
      <c r="A183" s="523"/>
      <c r="B183" s="523"/>
      <c r="C183" s="523"/>
      <c r="D183" s="523"/>
      <c r="E183" s="523"/>
      <c r="F183" s="523"/>
      <c r="G183" s="523"/>
      <c r="H183" s="524"/>
      <c r="I183" s="523"/>
      <c r="J183" s="523"/>
      <c r="K183" s="523"/>
      <c r="L183" s="523"/>
      <c r="M183" s="523"/>
      <c r="N183" s="523"/>
      <c r="O183" s="523"/>
      <c r="P183" s="523"/>
      <c r="Q183" s="523"/>
      <c r="R183" s="523"/>
      <c r="S183" s="523"/>
      <c r="T183" s="523"/>
      <c r="U183" s="523"/>
      <c r="V183" s="523"/>
      <c r="W183" s="523"/>
      <c r="X183" s="523"/>
      <c r="Y183" s="523"/>
      <c r="Z183" s="523"/>
    </row>
    <row r="184" spans="1:26" ht="15.75" customHeight="1">
      <c r="A184" s="523"/>
      <c r="B184" s="523"/>
      <c r="C184" s="523"/>
      <c r="D184" s="523"/>
      <c r="E184" s="523"/>
      <c r="F184" s="523"/>
      <c r="G184" s="523"/>
      <c r="H184" s="524"/>
      <c r="I184" s="523"/>
      <c r="J184" s="523"/>
      <c r="K184" s="523"/>
      <c r="L184" s="523"/>
      <c r="M184" s="523"/>
      <c r="N184" s="523"/>
      <c r="O184" s="523"/>
      <c r="P184" s="523"/>
      <c r="Q184" s="523"/>
      <c r="R184" s="523"/>
      <c r="S184" s="523"/>
      <c r="T184" s="523"/>
      <c r="U184" s="523"/>
      <c r="V184" s="523"/>
      <c r="W184" s="523"/>
      <c r="X184" s="523"/>
      <c r="Y184" s="523"/>
      <c r="Z184" s="523"/>
    </row>
    <row r="185" spans="1:26" ht="15.75" customHeight="1">
      <c r="A185" s="523"/>
      <c r="B185" s="523"/>
      <c r="C185" s="523"/>
      <c r="D185" s="523"/>
      <c r="E185" s="523"/>
      <c r="F185" s="523"/>
      <c r="G185" s="523"/>
      <c r="H185" s="524"/>
      <c r="I185" s="523"/>
      <c r="J185" s="523"/>
      <c r="K185" s="523"/>
      <c r="L185" s="523"/>
      <c r="M185" s="523"/>
      <c r="N185" s="523"/>
      <c r="O185" s="523"/>
      <c r="P185" s="523"/>
      <c r="Q185" s="523"/>
      <c r="R185" s="523"/>
      <c r="S185" s="523"/>
      <c r="T185" s="523"/>
      <c r="U185" s="523"/>
      <c r="V185" s="523"/>
      <c r="W185" s="523"/>
      <c r="X185" s="523"/>
      <c r="Y185" s="523"/>
      <c r="Z185" s="523"/>
    </row>
    <row r="186" spans="1:26" ht="15.75" customHeight="1">
      <c r="A186" s="523"/>
      <c r="B186" s="523"/>
      <c r="C186" s="523"/>
      <c r="D186" s="523"/>
      <c r="E186" s="523"/>
      <c r="F186" s="523"/>
      <c r="G186" s="523"/>
      <c r="H186" s="524"/>
      <c r="I186" s="523"/>
      <c r="J186" s="523"/>
      <c r="K186" s="523"/>
      <c r="L186" s="523"/>
      <c r="M186" s="523"/>
      <c r="N186" s="523"/>
      <c r="O186" s="523"/>
      <c r="P186" s="523"/>
      <c r="Q186" s="523"/>
      <c r="R186" s="523"/>
      <c r="S186" s="523"/>
      <c r="T186" s="523"/>
      <c r="U186" s="523"/>
      <c r="V186" s="523"/>
      <c r="W186" s="523"/>
      <c r="X186" s="523"/>
      <c r="Y186" s="523"/>
      <c r="Z186" s="523"/>
    </row>
    <row r="187" spans="1:26" ht="15.75" customHeight="1">
      <c r="A187" s="523"/>
      <c r="B187" s="523"/>
      <c r="C187" s="523"/>
      <c r="D187" s="523"/>
      <c r="E187" s="523"/>
      <c r="F187" s="523"/>
      <c r="G187" s="523"/>
      <c r="H187" s="524"/>
      <c r="I187" s="523"/>
      <c r="J187" s="523"/>
      <c r="K187" s="523"/>
      <c r="L187" s="523"/>
      <c r="M187" s="523"/>
      <c r="N187" s="523"/>
      <c r="O187" s="523"/>
      <c r="P187" s="523"/>
      <c r="Q187" s="523"/>
      <c r="R187" s="523"/>
      <c r="S187" s="523"/>
      <c r="T187" s="523"/>
      <c r="U187" s="523"/>
      <c r="V187" s="523"/>
      <c r="W187" s="523"/>
      <c r="X187" s="523"/>
      <c r="Y187" s="523"/>
      <c r="Z187" s="523"/>
    </row>
    <row r="188" spans="1:26" ht="15.75" customHeight="1">
      <c r="A188" s="523"/>
      <c r="B188" s="523"/>
      <c r="C188" s="523"/>
      <c r="D188" s="523"/>
      <c r="E188" s="523"/>
      <c r="F188" s="523"/>
      <c r="G188" s="523"/>
      <c r="H188" s="524"/>
      <c r="I188" s="523"/>
      <c r="J188" s="523"/>
      <c r="K188" s="523"/>
      <c r="L188" s="523"/>
      <c r="M188" s="523"/>
      <c r="N188" s="523"/>
      <c r="O188" s="523"/>
      <c r="P188" s="523"/>
      <c r="Q188" s="523"/>
      <c r="R188" s="523"/>
      <c r="S188" s="523"/>
      <c r="T188" s="523"/>
      <c r="U188" s="523"/>
      <c r="V188" s="523"/>
      <c r="W188" s="523"/>
      <c r="X188" s="523"/>
      <c r="Y188" s="523"/>
      <c r="Z188" s="523"/>
    </row>
    <row r="189" spans="1:26" ht="15.75" customHeight="1">
      <c r="A189" s="523"/>
      <c r="B189" s="523"/>
      <c r="C189" s="523"/>
      <c r="D189" s="523"/>
      <c r="E189" s="523"/>
      <c r="F189" s="523"/>
      <c r="G189" s="523"/>
      <c r="H189" s="524"/>
      <c r="I189" s="523"/>
      <c r="J189" s="523"/>
      <c r="K189" s="523"/>
      <c r="L189" s="523"/>
      <c r="M189" s="523"/>
      <c r="N189" s="523"/>
      <c r="O189" s="523"/>
      <c r="P189" s="523"/>
      <c r="Q189" s="523"/>
      <c r="R189" s="523"/>
      <c r="S189" s="523"/>
      <c r="T189" s="523"/>
      <c r="U189" s="523"/>
      <c r="V189" s="523"/>
      <c r="W189" s="523"/>
      <c r="X189" s="523"/>
      <c r="Y189" s="523"/>
      <c r="Z189" s="523"/>
    </row>
    <row r="190" spans="1:26" ht="15.75" customHeight="1">
      <c r="A190" s="523"/>
      <c r="B190" s="523"/>
      <c r="C190" s="523"/>
      <c r="D190" s="523"/>
      <c r="E190" s="523"/>
      <c r="F190" s="523"/>
      <c r="G190" s="523"/>
      <c r="H190" s="524"/>
      <c r="I190" s="523"/>
      <c r="J190" s="523"/>
      <c r="K190" s="523"/>
      <c r="L190" s="523"/>
      <c r="M190" s="523"/>
      <c r="N190" s="523"/>
      <c r="O190" s="523"/>
      <c r="P190" s="523"/>
      <c r="Q190" s="523"/>
      <c r="R190" s="523"/>
      <c r="S190" s="523"/>
      <c r="T190" s="523"/>
      <c r="U190" s="523"/>
      <c r="V190" s="523"/>
      <c r="W190" s="523"/>
      <c r="X190" s="523"/>
      <c r="Y190" s="523"/>
      <c r="Z190" s="523"/>
    </row>
    <row r="191" spans="1:26" ht="15.75" customHeight="1">
      <c r="A191" s="523"/>
      <c r="B191" s="523"/>
      <c r="C191" s="523"/>
      <c r="D191" s="523"/>
      <c r="E191" s="523"/>
      <c r="F191" s="523"/>
      <c r="G191" s="523"/>
      <c r="H191" s="524"/>
      <c r="I191" s="523"/>
      <c r="J191" s="523"/>
      <c r="K191" s="523"/>
      <c r="L191" s="523"/>
      <c r="M191" s="523"/>
      <c r="N191" s="523"/>
      <c r="O191" s="523"/>
      <c r="P191" s="523"/>
      <c r="Q191" s="523"/>
      <c r="R191" s="523"/>
      <c r="S191" s="523"/>
      <c r="T191" s="523"/>
      <c r="U191" s="523"/>
      <c r="V191" s="523"/>
      <c r="W191" s="523"/>
      <c r="X191" s="523"/>
      <c r="Y191" s="523"/>
      <c r="Z191" s="523"/>
    </row>
    <row r="192" spans="1:26" ht="15.75" customHeight="1">
      <c r="A192" s="523"/>
      <c r="B192" s="523"/>
      <c r="C192" s="523"/>
      <c r="D192" s="523"/>
      <c r="E192" s="523"/>
      <c r="F192" s="523"/>
      <c r="G192" s="523"/>
      <c r="H192" s="524"/>
      <c r="I192" s="523"/>
      <c r="J192" s="523"/>
      <c r="K192" s="523"/>
      <c r="L192" s="523"/>
      <c r="M192" s="523"/>
      <c r="N192" s="523"/>
      <c r="O192" s="523"/>
      <c r="P192" s="523"/>
      <c r="Q192" s="523"/>
      <c r="R192" s="523"/>
      <c r="S192" s="523"/>
      <c r="T192" s="523"/>
      <c r="U192" s="523"/>
      <c r="V192" s="523"/>
      <c r="W192" s="523"/>
      <c r="X192" s="523"/>
      <c r="Y192" s="523"/>
      <c r="Z192" s="523"/>
    </row>
    <row r="193" spans="1:26" ht="15.75" customHeight="1">
      <c r="A193" s="523"/>
      <c r="B193" s="523"/>
      <c r="C193" s="523"/>
      <c r="D193" s="523"/>
      <c r="E193" s="523"/>
      <c r="F193" s="523"/>
      <c r="G193" s="523"/>
      <c r="H193" s="524"/>
      <c r="I193" s="523"/>
      <c r="J193" s="523"/>
      <c r="K193" s="523"/>
      <c r="L193" s="523"/>
      <c r="M193" s="523"/>
      <c r="N193" s="523"/>
      <c r="O193" s="523"/>
      <c r="P193" s="523"/>
      <c r="Q193" s="523"/>
      <c r="R193" s="523"/>
      <c r="S193" s="523"/>
      <c r="T193" s="523"/>
      <c r="U193" s="523"/>
      <c r="V193" s="523"/>
      <c r="W193" s="523"/>
      <c r="X193" s="523"/>
      <c r="Y193" s="523"/>
      <c r="Z193" s="523"/>
    </row>
    <row r="194" spans="1:26" ht="15.75" customHeight="1">
      <c r="A194" s="523"/>
      <c r="B194" s="523"/>
      <c r="C194" s="523"/>
      <c r="D194" s="523"/>
      <c r="E194" s="523"/>
      <c r="F194" s="523"/>
      <c r="G194" s="523"/>
      <c r="H194" s="524"/>
      <c r="I194" s="523"/>
      <c r="J194" s="523"/>
      <c r="K194" s="523"/>
      <c r="L194" s="523"/>
      <c r="M194" s="523"/>
      <c r="N194" s="523"/>
      <c r="O194" s="523"/>
      <c r="P194" s="523"/>
      <c r="Q194" s="523"/>
      <c r="R194" s="523"/>
      <c r="S194" s="523"/>
      <c r="T194" s="523"/>
      <c r="U194" s="523"/>
      <c r="V194" s="523"/>
      <c r="W194" s="523"/>
      <c r="X194" s="523"/>
      <c r="Y194" s="523"/>
      <c r="Z194" s="523"/>
    </row>
    <row r="195" spans="1:26" ht="15.75" customHeight="1">
      <c r="A195" s="523"/>
      <c r="B195" s="523"/>
      <c r="C195" s="523"/>
      <c r="D195" s="523"/>
      <c r="E195" s="523"/>
      <c r="F195" s="523"/>
      <c r="G195" s="523"/>
      <c r="H195" s="524"/>
      <c r="I195" s="523"/>
      <c r="J195" s="523"/>
      <c r="K195" s="523"/>
      <c r="L195" s="523"/>
      <c r="M195" s="523"/>
      <c r="N195" s="523"/>
      <c r="O195" s="523"/>
      <c r="P195" s="523"/>
      <c r="Q195" s="523"/>
      <c r="R195" s="523"/>
      <c r="S195" s="523"/>
      <c r="T195" s="523"/>
      <c r="U195" s="523"/>
      <c r="V195" s="523"/>
      <c r="W195" s="523"/>
      <c r="X195" s="523"/>
      <c r="Y195" s="523"/>
      <c r="Z195" s="523"/>
    </row>
    <row r="196" spans="1:26" ht="15.75" customHeight="1">
      <c r="A196" s="523"/>
      <c r="B196" s="523"/>
      <c r="C196" s="523"/>
      <c r="D196" s="523"/>
      <c r="E196" s="523"/>
      <c r="F196" s="523"/>
      <c r="G196" s="523"/>
      <c r="H196" s="524"/>
      <c r="I196" s="523"/>
      <c r="J196" s="523"/>
      <c r="K196" s="523"/>
      <c r="L196" s="523"/>
      <c r="M196" s="523"/>
      <c r="N196" s="523"/>
      <c r="O196" s="523"/>
      <c r="P196" s="523"/>
      <c r="Q196" s="523"/>
      <c r="R196" s="523"/>
      <c r="S196" s="523"/>
      <c r="T196" s="523"/>
      <c r="U196" s="523"/>
      <c r="V196" s="523"/>
      <c r="W196" s="523"/>
      <c r="X196" s="523"/>
      <c r="Y196" s="523"/>
      <c r="Z196" s="523"/>
    </row>
    <row r="197" spans="1:26" ht="15.75" customHeight="1">
      <c r="A197" s="523"/>
      <c r="B197" s="523"/>
      <c r="C197" s="523"/>
      <c r="D197" s="523"/>
      <c r="E197" s="523"/>
      <c r="F197" s="523"/>
      <c r="G197" s="523"/>
      <c r="H197" s="524"/>
      <c r="I197" s="523"/>
      <c r="J197" s="523"/>
      <c r="K197" s="523"/>
      <c r="L197" s="523"/>
      <c r="M197" s="523"/>
      <c r="N197" s="523"/>
      <c r="O197" s="523"/>
      <c r="P197" s="523"/>
      <c r="Q197" s="523"/>
      <c r="R197" s="523"/>
      <c r="S197" s="523"/>
      <c r="T197" s="523"/>
      <c r="U197" s="523"/>
      <c r="V197" s="523"/>
      <c r="W197" s="523"/>
      <c r="X197" s="523"/>
      <c r="Y197" s="523"/>
      <c r="Z197" s="523"/>
    </row>
    <row r="198" spans="1:26" ht="15.75" customHeight="1">
      <c r="A198" s="523"/>
      <c r="B198" s="523"/>
      <c r="C198" s="523"/>
      <c r="D198" s="523"/>
      <c r="E198" s="523"/>
      <c r="F198" s="523"/>
      <c r="G198" s="523"/>
      <c r="H198" s="524"/>
      <c r="I198" s="523"/>
      <c r="J198" s="523"/>
      <c r="K198" s="523"/>
      <c r="L198" s="523"/>
      <c r="M198" s="523"/>
      <c r="N198" s="523"/>
      <c r="O198" s="523"/>
      <c r="P198" s="523"/>
      <c r="Q198" s="523"/>
      <c r="R198" s="523"/>
      <c r="S198" s="523"/>
      <c r="T198" s="523"/>
      <c r="U198" s="523"/>
      <c r="V198" s="523"/>
      <c r="W198" s="523"/>
      <c r="X198" s="523"/>
      <c r="Y198" s="523"/>
      <c r="Z198" s="523"/>
    </row>
    <row r="199" spans="1:26" ht="15.75" customHeight="1">
      <c r="A199" s="523"/>
      <c r="B199" s="523"/>
      <c r="C199" s="523"/>
      <c r="D199" s="523"/>
      <c r="E199" s="523"/>
      <c r="F199" s="523"/>
      <c r="G199" s="523"/>
      <c r="H199" s="524"/>
      <c r="I199" s="523"/>
      <c r="J199" s="523"/>
      <c r="K199" s="523"/>
      <c r="L199" s="523"/>
      <c r="M199" s="523"/>
      <c r="N199" s="523"/>
      <c r="O199" s="523"/>
      <c r="P199" s="523"/>
      <c r="Q199" s="523"/>
      <c r="R199" s="523"/>
      <c r="S199" s="523"/>
      <c r="T199" s="523"/>
      <c r="U199" s="523"/>
      <c r="V199" s="523"/>
      <c r="W199" s="523"/>
      <c r="X199" s="523"/>
      <c r="Y199" s="523"/>
      <c r="Z199" s="523"/>
    </row>
    <row r="200" spans="1:26" ht="15.75" customHeight="1">
      <c r="A200" s="523"/>
      <c r="B200" s="523"/>
      <c r="C200" s="523"/>
      <c r="D200" s="523"/>
      <c r="E200" s="523"/>
      <c r="F200" s="523"/>
      <c r="G200" s="523"/>
      <c r="H200" s="524"/>
      <c r="I200" s="523"/>
      <c r="J200" s="523"/>
      <c r="K200" s="523"/>
      <c r="L200" s="523"/>
      <c r="M200" s="523"/>
      <c r="N200" s="523"/>
      <c r="O200" s="523"/>
      <c r="P200" s="523"/>
      <c r="Q200" s="523"/>
      <c r="R200" s="523"/>
      <c r="S200" s="523"/>
      <c r="T200" s="523"/>
      <c r="U200" s="523"/>
      <c r="V200" s="523"/>
      <c r="W200" s="523"/>
      <c r="X200" s="523"/>
      <c r="Y200" s="523"/>
      <c r="Z200" s="523"/>
    </row>
    <row r="201" spans="1:26" ht="15.75" customHeight="1">
      <c r="A201" s="523"/>
      <c r="B201" s="523"/>
      <c r="C201" s="523"/>
      <c r="D201" s="523"/>
      <c r="E201" s="523"/>
      <c r="F201" s="523"/>
      <c r="G201" s="523"/>
      <c r="H201" s="524"/>
      <c r="I201" s="523"/>
      <c r="J201" s="523"/>
      <c r="K201" s="523"/>
      <c r="L201" s="523"/>
      <c r="M201" s="523"/>
      <c r="N201" s="523"/>
      <c r="O201" s="523"/>
      <c r="P201" s="523"/>
      <c r="Q201" s="523"/>
      <c r="R201" s="523"/>
      <c r="S201" s="523"/>
      <c r="T201" s="523"/>
      <c r="U201" s="523"/>
      <c r="V201" s="523"/>
      <c r="W201" s="523"/>
      <c r="X201" s="523"/>
      <c r="Y201" s="523"/>
      <c r="Z201" s="523"/>
    </row>
    <row r="202" spans="1:26" ht="15.75" customHeight="1">
      <c r="A202" s="523"/>
      <c r="B202" s="523"/>
      <c r="C202" s="523"/>
      <c r="D202" s="523"/>
      <c r="E202" s="523"/>
      <c r="F202" s="523"/>
      <c r="G202" s="523"/>
      <c r="H202" s="524"/>
      <c r="I202" s="523"/>
      <c r="J202" s="523"/>
      <c r="K202" s="523"/>
      <c r="L202" s="523"/>
      <c r="M202" s="523"/>
      <c r="N202" s="523"/>
      <c r="O202" s="523"/>
      <c r="P202" s="523"/>
      <c r="Q202" s="523"/>
      <c r="R202" s="523"/>
      <c r="S202" s="523"/>
      <c r="T202" s="523"/>
      <c r="U202" s="523"/>
      <c r="V202" s="523"/>
      <c r="W202" s="523"/>
      <c r="X202" s="523"/>
      <c r="Y202" s="523"/>
      <c r="Z202" s="523"/>
    </row>
    <row r="203" spans="1:26" ht="15.75" customHeight="1">
      <c r="A203" s="523"/>
      <c r="B203" s="523"/>
      <c r="C203" s="523"/>
      <c r="D203" s="523"/>
      <c r="E203" s="523"/>
      <c r="F203" s="523"/>
      <c r="G203" s="523"/>
      <c r="H203" s="524"/>
      <c r="I203" s="523"/>
      <c r="J203" s="523"/>
      <c r="K203" s="523"/>
      <c r="L203" s="523"/>
      <c r="M203" s="523"/>
      <c r="N203" s="523"/>
      <c r="O203" s="523"/>
      <c r="P203" s="523"/>
      <c r="Q203" s="523"/>
      <c r="R203" s="523"/>
      <c r="S203" s="523"/>
      <c r="T203" s="523"/>
      <c r="U203" s="523"/>
      <c r="V203" s="523"/>
      <c r="W203" s="523"/>
      <c r="X203" s="523"/>
      <c r="Y203" s="523"/>
      <c r="Z203" s="523"/>
    </row>
    <row r="204" spans="1:26" ht="15.75" customHeight="1">
      <c r="A204" s="523"/>
      <c r="B204" s="523"/>
      <c r="C204" s="523"/>
      <c r="D204" s="523"/>
      <c r="E204" s="523"/>
      <c r="F204" s="523"/>
      <c r="G204" s="523"/>
      <c r="H204" s="524"/>
      <c r="I204" s="523"/>
      <c r="J204" s="523"/>
      <c r="K204" s="523"/>
      <c r="L204" s="523"/>
      <c r="M204" s="523"/>
      <c r="N204" s="523"/>
      <c r="O204" s="523"/>
      <c r="P204" s="523"/>
      <c r="Q204" s="523"/>
      <c r="R204" s="523"/>
      <c r="S204" s="523"/>
      <c r="T204" s="523"/>
      <c r="U204" s="523"/>
      <c r="V204" s="523"/>
      <c r="W204" s="523"/>
      <c r="X204" s="523"/>
      <c r="Y204" s="523"/>
      <c r="Z204" s="523"/>
    </row>
    <row r="205" spans="1:26" ht="15.75" customHeight="1">
      <c r="A205" s="523"/>
      <c r="B205" s="523"/>
      <c r="C205" s="523"/>
      <c r="D205" s="523"/>
      <c r="E205" s="523"/>
      <c r="F205" s="523"/>
      <c r="G205" s="523"/>
      <c r="H205" s="524"/>
      <c r="I205" s="523"/>
      <c r="J205" s="523"/>
      <c r="K205" s="523"/>
      <c r="L205" s="523"/>
      <c r="M205" s="523"/>
      <c r="N205" s="523"/>
      <c r="O205" s="523"/>
      <c r="P205" s="523"/>
      <c r="Q205" s="523"/>
      <c r="R205" s="523"/>
      <c r="S205" s="523"/>
      <c r="T205" s="523"/>
      <c r="U205" s="523"/>
      <c r="V205" s="523"/>
      <c r="W205" s="523"/>
      <c r="X205" s="523"/>
      <c r="Y205" s="523"/>
      <c r="Z205" s="523"/>
    </row>
    <row r="206" spans="1:26" ht="15.75" customHeight="1">
      <c r="A206" s="523"/>
      <c r="B206" s="523"/>
      <c r="C206" s="523"/>
      <c r="D206" s="523"/>
      <c r="E206" s="523"/>
      <c r="F206" s="523"/>
      <c r="G206" s="523"/>
      <c r="H206" s="524"/>
      <c r="I206" s="523"/>
      <c r="J206" s="523"/>
      <c r="K206" s="523"/>
      <c r="L206" s="523"/>
      <c r="M206" s="523"/>
      <c r="N206" s="523"/>
      <c r="O206" s="523"/>
      <c r="P206" s="523"/>
      <c r="Q206" s="523"/>
      <c r="R206" s="523"/>
      <c r="S206" s="523"/>
      <c r="T206" s="523"/>
      <c r="U206" s="523"/>
      <c r="V206" s="523"/>
      <c r="W206" s="523"/>
      <c r="X206" s="523"/>
      <c r="Y206" s="523"/>
      <c r="Z206" s="523"/>
    </row>
    <row r="207" spans="1:26" ht="15.75" customHeight="1">
      <c r="A207" s="523"/>
      <c r="B207" s="523"/>
      <c r="C207" s="523"/>
      <c r="D207" s="523"/>
      <c r="E207" s="523"/>
      <c r="F207" s="523"/>
      <c r="G207" s="523"/>
      <c r="H207" s="524"/>
      <c r="I207" s="523"/>
      <c r="J207" s="523"/>
      <c r="K207" s="523"/>
      <c r="L207" s="523"/>
      <c r="M207" s="523"/>
      <c r="N207" s="523"/>
      <c r="O207" s="523"/>
      <c r="P207" s="523"/>
      <c r="Q207" s="523"/>
      <c r="R207" s="523"/>
      <c r="S207" s="523"/>
      <c r="T207" s="523"/>
      <c r="U207" s="523"/>
      <c r="V207" s="523"/>
      <c r="W207" s="523"/>
      <c r="X207" s="523"/>
      <c r="Y207" s="523"/>
      <c r="Z207" s="523"/>
    </row>
    <row r="208" spans="1:26" ht="15.75" customHeight="1">
      <c r="A208" s="523"/>
      <c r="B208" s="523"/>
      <c r="C208" s="523"/>
      <c r="D208" s="523"/>
      <c r="E208" s="523"/>
      <c r="F208" s="523"/>
      <c r="G208" s="523"/>
      <c r="H208" s="524"/>
      <c r="I208" s="523"/>
      <c r="J208" s="523"/>
      <c r="K208" s="523"/>
      <c r="L208" s="523"/>
      <c r="M208" s="523"/>
      <c r="N208" s="523"/>
      <c r="O208" s="523"/>
      <c r="P208" s="523"/>
      <c r="Q208" s="523"/>
      <c r="R208" s="523"/>
      <c r="S208" s="523"/>
      <c r="T208" s="523"/>
      <c r="U208" s="523"/>
      <c r="V208" s="523"/>
      <c r="W208" s="523"/>
      <c r="X208" s="523"/>
      <c r="Y208" s="523"/>
      <c r="Z208" s="523"/>
    </row>
    <row r="209" spans="1:26" ht="15.75" customHeight="1">
      <c r="A209" s="523"/>
      <c r="B209" s="523"/>
      <c r="C209" s="523"/>
      <c r="D209" s="523"/>
      <c r="E209" s="523"/>
      <c r="F209" s="523"/>
      <c r="G209" s="523"/>
      <c r="H209" s="524"/>
      <c r="I209" s="523"/>
      <c r="J209" s="523"/>
      <c r="K209" s="523"/>
      <c r="L209" s="523"/>
      <c r="M209" s="523"/>
      <c r="N209" s="523"/>
      <c r="O209" s="523"/>
      <c r="P209" s="523"/>
      <c r="Q209" s="523"/>
      <c r="R209" s="523"/>
      <c r="S209" s="523"/>
      <c r="T209" s="523"/>
      <c r="U209" s="523"/>
      <c r="V209" s="523"/>
      <c r="W209" s="523"/>
      <c r="X209" s="523"/>
      <c r="Y209" s="523"/>
      <c r="Z209" s="523"/>
    </row>
    <row r="210" spans="1:26" ht="15.75" customHeight="1">
      <c r="A210" s="523"/>
      <c r="B210" s="523"/>
      <c r="C210" s="523"/>
      <c r="D210" s="523"/>
      <c r="E210" s="523"/>
      <c r="F210" s="523"/>
      <c r="G210" s="523"/>
      <c r="H210" s="524"/>
      <c r="I210" s="523"/>
      <c r="J210" s="523"/>
      <c r="K210" s="523"/>
      <c r="L210" s="523"/>
      <c r="M210" s="523"/>
      <c r="N210" s="523"/>
      <c r="O210" s="523"/>
      <c r="P210" s="523"/>
      <c r="Q210" s="523"/>
      <c r="R210" s="523"/>
      <c r="S210" s="523"/>
      <c r="T210" s="523"/>
      <c r="U210" s="523"/>
      <c r="V210" s="523"/>
      <c r="W210" s="523"/>
      <c r="X210" s="523"/>
      <c r="Y210" s="523"/>
      <c r="Z210" s="523"/>
    </row>
    <row r="211" spans="1:26" ht="15.75" customHeight="1">
      <c r="A211" s="523"/>
      <c r="B211" s="523"/>
      <c r="C211" s="523"/>
      <c r="D211" s="523"/>
      <c r="E211" s="523"/>
      <c r="F211" s="523"/>
      <c r="G211" s="523"/>
      <c r="H211" s="524"/>
      <c r="I211" s="523"/>
      <c r="J211" s="523"/>
      <c r="K211" s="523"/>
      <c r="L211" s="523"/>
      <c r="M211" s="523"/>
      <c r="N211" s="523"/>
      <c r="O211" s="523"/>
      <c r="P211" s="523"/>
      <c r="Q211" s="523"/>
      <c r="R211" s="523"/>
      <c r="S211" s="523"/>
      <c r="T211" s="523"/>
      <c r="U211" s="523"/>
      <c r="V211" s="523"/>
      <c r="W211" s="523"/>
      <c r="X211" s="523"/>
      <c r="Y211" s="523"/>
      <c r="Z211" s="523"/>
    </row>
    <row r="212" spans="1:26" ht="15.75" customHeight="1">
      <c r="A212" s="523"/>
      <c r="B212" s="523"/>
      <c r="C212" s="523"/>
      <c r="D212" s="523"/>
      <c r="E212" s="523"/>
      <c r="F212" s="523"/>
      <c r="G212" s="523"/>
      <c r="H212" s="524"/>
      <c r="I212" s="523"/>
      <c r="J212" s="523"/>
      <c r="K212" s="523"/>
      <c r="L212" s="523"/>
      <c r="M212" s="523"/>
      <c r="N212" s="523"/>
      <c r="O212" s="523"/>
      <c r="P212" s="523"/>
      <c r="Q212" s="523"/>
      <c r="R212" s="523"/>
      <c r="S212" s="523"/>
      <c r="T212" s="523"/>
      <c r="U212" s="523"/>
      <c r="V212" s="523"/>
      <c r="W212" s="523"/>
      <c r="X212" s="523"/>
      <c r="Y212" s="523"/>
      <c r="Z212" s="523"/>
    </row>
    <row r="213" spans="1:26" ht="15.75" customHeight="1">
      <c r="A213" s="523"/>
      <c r="B213" s="523"/>
      <c r="C213" s="523"/>
      <c r="D213" s="523"/>
      <c r="E213" s="523"/>
      <c r="F213" s="523"/>
      <c r="G213" s="523"/>
      <c r="H213" s="524"/>
      <c r="I213" s="523"/>
      <c r="J213" s="523"/>
      <c r="K213" s="523"/>
      <c r="L213" s="523"/>
      <c r="M213" s="523"/>
      <c r="N213" s="523"/>
      <c r="O213" s="523"/>
      <c r="P213" s="523"/>
      <c r="Q213" s="523"/>
      <c r="R213" s="523"/>
      <c r="S213" s="523"/>
      <c r="T213" s="523"/>
      <c r="U213" s="523"/>
      <c r="V213" s="523"/>
      <c r="W213" s="523"/>
      <c r="X213" s="523"/>
      <c r="Y213" s="523"/>
      <c r="Z213" s="523"/>
    </row>
    <row r="214" spans="1:26" ht="15.75" customHeight="1">
      <c r="A214" s="523"/>
      <c r="B214" s="523"/>
      <c r="C214" s="523"/>
      <c r="D214" s="523"/>
      <c r="E214" s="523"/>
      <c r="F214" s="523"/>
      <c r="G214" s="523"/>
      <c r="H214" s="524"/>
      <c r="I214" s="523"/>
      <c r="J214" s="523"/>
      <c r="K214" s="523"/>
      <c r="L214" s="523"/>
      <c r="M214" s="523"/>
      <c r="N214" s="523"/>
      <c r="O214" s="523"/>
      <c r="P214" s="523"/>
      <c r="Q214" s="523"/>
      <c r="R214" s="523"/>
      <c r="S214" s="523"/>
      <c r="T214" s="523"/>
      <c r="U214" s="523"/>
      <c r="V214" s="523"/>
      <c r="W214" s="523"/>
      <c r="X214" s="523"/>
      <c r="Y214" s="523"/>
      <c r="Z214" s="523"/>
    </row>
    <row r="215" spans="1:26" ht="15.75" customHeight="1">
      <c r="A215" s="523"/>
      <c r="B215" s="523"/>
      <c r="C215" s="523"/>
      <c r="D215" s="523"/>
      <c r="E215" s="523"/>
      <c r="F215" s="523"/>
      <c r="G215" s="523"/>
      <c r="H215" s="524"/>
      <c r="I215" s="523"/>
      <c r="J215" s="523"/>
      <c r="K215" s="523"/>
      <c r="L215" s="523"/>
      <c r="M215" s="523"/>
      <c r="N215" s="523"/>
      <c r="O215" s="523"/>
      <c r="P215" s="523"/>
      <c r="Q215" s="523"/>
      <c r="R215" s="523"/>
      <c r="S215" s="523"/>
      <c r="T215" s="523"/>
      <c r="U215" s="523"/>
      <c r="V215" s="523"/>
      <c r="W215" s="523"/>
      <c r="X215" s="523"/>
      <c r="Y215" s="523"/>
      <c r="Z215" s="523"/>
    </row>
    <row r="216" spans="1:26" ht="15.75" customHeight="1">
      <c r="A216" s="523"/>
      <c r="B216" s="523"/>
      <c r="C216" s="523"/>
      <c r="D216" s="523"/>
      <c r="E216" s="523"/>
      <c r="F216" s="523"/>
      <c r="G216" s="523"/>
      <c r="H216" s="524"/>
      <c r="I216" s="523"/>
      <c r="J216" s="523"/>
      <c r="K216" s="523"/>
      <c r="L216" s="523"/>
      <c r="M216" s="523"/>
      <c r="N216" s="523"/>
      <c r="O216" s="523"/>
      <c r="P216" s="523"/>
      <c r="Q216" s="523"/>
      <c r="R216" s="523"/>
      <c r="S216" s="523"/>
      <c r="T216" s="523"/>
      <c r="U216" s="523"/>
      <c r="V216" s="523"/>
      <c r="W216" s="523"/>
      <c r="X216" s="523"/>
      <c r="Y216" s="523"/>
      <c r="Z216" s="523"/>
    </row>
    <row r="217" spans="1:26" ht="15.75" customHeight="1">
      <c r="A217" s="523"/>
      <c r="B217" s="523"/>
      <c r="C217" s="523"/>
      <c r="D217" s="523"/>
      <c r="E217" s="523"/>
      <c r="F217" s="523"/>
      <c r="G217" s="523"/>
      <c r="H217" s="524"/>
      <c r="I217" s="523"/>
      <c r="J217" s="523"/>
      <c r="K217" s="523"/>
      <c r="L217" s="523"/>
      <c r="M217" s="523"/>
      <c r="N217" s="523"/>
      <c r="O217" s="523"/>
      <c r="P217" s="523"/>
      <c r="Q217" s="523"/>
      <c r="R217" s="523"/>
      <c r="S217" s="523"/>
      <c r="T217" s="523"/>
      <c r="U217" s="523"/>
      <c r="V217" s="523"/>
      <c r="W217" s="523"/>
      <c r="X217" s="523"/>
      <c r="Y217" s="523"/>
      <c r="Z217" s="523"/>
    </row>
    <row r="218" spans="1:26" ht="15.75" customHeight="1">
      <c r="A218" s="523"/>
      <c r="B218" s="523"/>
      <c r="C218" s="523"/>
      <c r="D218" s="523"/>
      <c r="E218" s="523"/>
      <c r="F218" s="523"/>
      <c r="G218" s="523"/>
      <c r="H218" s="524"/>
      <c r="I218" s="523"/>
      <c r="J218" s="523"/>
      <c r="K218" s="523"/>
      <c r="L218" s="523"/>
      <c r="M218" s="523"/>
      <c r="N218" s="523"/>
      <c r="O218" s="523"/>
      <c r="P218" s="523"/>
      <c r="Q218" s="523"/>
      <c r="R218" s="523"/>
      <c r="S218" s="523"/>
      <c r="T218" s="523"/>
      <c r="U218" s="523"/>
      <c r="V218" s="523"/>
      <c r="W218" s="523"/>
      <c r="X218" s="523"/>
      <c r="Y218" s="523"/>
      <c r="Z218" s="523"/>
    </row>
    <row r="219" spans="1:26" ht="15.75" customHeight="1">
      <c r="A219" s="523"/>
      <c r="B219" s="523"/>
      <c r="C219" s="523"/>
      <c r="D219" s="523"/>
      <c r="E219" s="523"/>
      <c r="F219" s="523"/>
      <c r="G219" s="523"/>
      <c r="H219" s="524"/>
      <c r="I219" s="523"/>
      <c r="J219" s="523"/>
      <c r="K219" s="523"/>
      <c r="L219" s="523"/>
      <c r="M219" s="523"/>
      <c r="N219" s="523"/>
      <c r="O219" s="523"/>
      <c r="P219" s="523"/>
      <c r="Q219" s="523"/>
      <c r="R219" s="523"/>
      <c r="S219" s="523"/>
      <c r="T219" s="523"/>
      <c r="U219" s="523"/>
      <c r="V219" s="523"/>
      <c r="W219" s="523"/>
      <c r="X219" s="523"/>
      <c r="Y219" s="523"/>
      <c r="Z219" s="523"/>
    </row>
    <row r="220" spans="1:26" ht="15.75" customHeight="1">
      <c r="A220" s="523"/>
      <c r="B220" s="523"/>
      <c r="C220" s="523"/>
      <c r="D220" s="523"/>
      <c r="E220" s="523"/>
      <c r="F220" s="523"/>
      <c r="G220" s="523"/>
      <c r="H220" s="524"/>
      <c r="I220" s="523"/>
      <c r="J220" s="523"/>
      <c r="K220" s="523"/>
      <c r="L220" s="523"/>
      <c r="M220" s="523"/>
      <c r="N220" s="523"/>
      <c r="O220" s="523"/>
      <c r="P220" s="523"/>
      <c r="Q220" s="523"/>
      <c r="R220" s="523"/>
      <c r="S220" s="523"/>
      <c r="T220" s="523"/>
      <c r="U220" s="523"/>
      <c r="V220" s="523"/>
      <c r="W220" s="523"/>
      <c r="X220" s="523"/>
      <c r="Y220" s="523"/>
      <c r="Z220" s="523"/>
    </row>
    <row r="221" spans="1:26" ht="15.75" customHeight="1">
      <c r="A221" s="523"/>
      <c r="B221" s="523"/>
      <c r="C221" s="523"/>
      <c r="D221" s="523"/>
      <c r="E221" s="523"/>
      <c r="F221" s="523"/>
      <c r="G221" s="523"/>
      <c r="H221" s="524"/>
      <c r="I221" s="523"/>
      <c r="J221" s="523"/>
      <c r="K221" s="523"/>
      <c r="L221" s="523"/>
      <c r="M221" s="523"/>
      <c r="N221" s="523"/>
      <c r="O221" s="523"/>
      <c r="P221" s="523"/>
      <c r="Q221" s="523"/>
      <c r="R221" s="523"/>
      <c r="S221" s="523"/>
      <c r="T221" s="523"/>
      <c r="U221" s="523"/>
      <c r="V221" s="523"/>
      <c r="W221" s="523"/>
      <c r="X221" s="523"/>
      <c r="Y221" s="523"/>
      <c r="Z221" s="523"/>
    </row>
    <row r="222" spans="1:26" ht="15.75" customHeight="1">
      <c r="A222" s="523"/>
      <c r="B222" s="523"/>
      <c r="C222" s="523"/>
      <c r="D222" s="523"/>
      <c r="E222" s="523"/>
      <c r="F222" s="523"/>
      <c r="G222" s="523"/>
      <c r="H222" s="524"/>
      <c r="I222" s="523"/>
      <c r="J222" s="523"/>
      <c r="K222" s="523"/>
      <c r="L222" s="523"/>
      <c r="M222" s="523"/>
      <c r="N222" s="523"/>
      <c r="O222" s="523"/>
      <c r="P222" s="523"/>
      <c r="Q222" s="523"/>
      <c r="R222" s="523"/>
      <c r="S222" s="523"/>
      <c r="T222" s="523"/>
      <c r="U222" s="523"/>
      <c r="V222" s="523"/>
      <c r="W222" s="523"/>
      <c r="X222" s="523"/>
      <c r="Y222" s="523"/>
      <c r="Z222" s="523"/>
    </row>
    <row r="223" spans="1:26" ht="15.75" customHeight="1">
      <c r="A223" s="523"/>
      <c r="B223" s="523"/>
      <c r="C223" s="523"/>
      <c r="D223" s="523"/>
      <c r="E223" s="523"/>
      <c r="F223" s="523"/>
      <c r="G223" s="523"/>
      <c r="H223" s="524"/>
      <c r="I223" s="523"/>
      <c r="J223" s="523"/>
      <c r="K223" s="523"/>
      <c r="L223" s="523"/>
      <c r="M223" s="523"/>
      <c r="N223" s="523"/>
      <c r="O223" s="523"/>
      <c r="P223" s="523"/>
      <c r="Q223" s="523"/>
      <c r="R223" s="523"/>
      <c r="S223" s="523"/>
      <c r="T223" s="523"/>
      <c r="U223" s="523"/>
      <c r="V223" s="523"/>
      <c r="W223" s="523"/>
      <c r="X223" s="523"/>
      <c r="Y223" s="523"/>
      <c r="Z223" s="523"/>
    </row>
    <row r="224" spans="1:26" ht="15.75" customHeight="1">
      <c r="A224" s="523"/>
      <c r="B224" s="523"/>
      <c r="C224" s="523"/>
      <c r="D224" s="523"/>
      <c r="E224" s="523"/>
      <c r="F224" s="523"/>
      <c r="G224" s="523"/>
      <c r="H224" s="524"/>
      <c r="I224" s="523"/>
      <c r="J224" s="523"/>
      <c r="K224" s="523"/>
      <c r="L224" s="523"/>
      <c r="M224" s="523"/>
      <c r="N224" s="523"/>
      <c r="O224" s="523"/>
      <c r="P224" s="523"/>
      <c r="Q224" s="523"/>
      <c r="R224" s="523"/>
      <c r="S224" s="523"/>
      <c r="T224" s="523"/>
      <c r="U224" s="523"/>
      <c r="V224" s="523"/>
      <c r="W224" s="523"/>
      <c r="X224" s="523"/>
      <c r="Y224" s="523"/>
      <c r="Z224" s="523"/>
    </row>
    <row r="225" spans="1:26" ht="15.75" customHeight="1">
      <c r="A225" s="523"/>
      <c r="B225" s="523"/>
      <c r="C225" s="523"/>
      <c r="D225" s="523"/>
      <c r="E225" s="523"/>
      <c r="F225" s="523"/>
      <c r="G225" s="523"/>
      <c r="H225" s="524"/>
      <c r="I225" s="523"/>
      <c r="J225" s="523"/>
      <c r="K225" s="523"/>
      <c r="L225" s="523"/>
      <c r="M225" s="523"/>
      <c r="N225" s="523"/>
      <c r="O225" s="523"/>
      <c r="P225" s="523"/>
      <c r="Q225" s="523"/>
      <c r="R225" s="523"/>
      <c r="S225" s="523"/>
      <c r="T225" s="523"/>
      <c r="U225" s="523"/>
      <c r="V225" s="523"/>
      <c r="W225" s="523"/>
      <c r="X225" s="523"/>
      <c r="Y225" s="523"/>
      <c r="Z225" s="523"/>
    </row>
    <row r="226" spans="1:26" ht="15.75" customHeight="1">
      <c r="A226" s="523"/>
      <c r="B226" s="523"/>
      <c r="C226" s="523"/>
      <c r="D226" s="523"/>
      <c r="E226" s="523"/>
      <c r="F226" s="523"/>
      <c r="G226" s="523"/>
      <c r="H226" s="524"/>
      <c r="I226" s="523"/>
      <c r="J226" s="523"/>
      <c r="K226" s="523"/>
      <c r="L226" s="523"/>
      <c r="M226" s="523"/>
      <c r="N226" s="523"/>
      <c r="O226" s="523"/>
      <c r="P226" s="523"/>
      <c r="Q226" s="523"/>
      <c r="R226" s="523"/>
      <c r="S226" s="523"/>
      <c r="T226" s="523"/>
      <c r="U226" s="523"/>
      <c r="V226" s="523"/>
      <c r="W226" s="523"/>
      <c r="X226" s="523"/>
      <c r="Y226" s="523"/>
      <c r="Z226" s="523"/>
    </row>
    <row r="227" spans="1:26" ht="15.75" customHeight="1">
      <c r="A227" s="523"/>
      <c r="B227" s="523"/>
      <c r="C227" s="523"/>
      <c r="D227" s="523"/>
      <c r="E227" s="523"/>
      <c r="F227" s="523"/>
      <c r="G227" s="523"/>
      <c r="H227" s="524"/>
      <c r="I227" s="523"/>
      <c r="J227" s="523"/>
      <c r="K227" s="523"/>
      <c r="L227" s="523"/>
      <c r="M227" s="523"/>
      <c r="N227" s="523"/>
      <c r="O227" s="523"/>
      <c r="P227" s="523"/>
      <c r="Q227" s="523"/>
      <c r="R227" s="523"/>
      <c r="S227" s="523"/>
      <c r="T227" s="523"/>
      <c r="U227" s="523"/>
      <c r="V227" s="523"/>
      <c r="W227" s="523"/>
      <c r="X227" s="523"/>
      <c r="Y227" s="523"/>
      <c r="Z227" s="523"/>
    </row>
    <row r="228" spans="1:26" ht="15.75" customHeight="1">
      <c r="A228" s="523"/>
      <c r="B228" s="523"/>
      <c r="C228" s="523"/>
      <c r="D228" s="523"/>
      <c r="E228" s="523"/>
      <c r="F228" s="523"/>
      <c r="G228" s="523"/>
      <c r="H228" s="524"/>
      <c r="I228" s="523"/>
      <c r="J228" s="523"/>
      <c r="K228" s="523"/>
      <c r="L228" s="523"/>
      <c r="M228" s="523"/>
      <c r="N228" s="523"/>
      <c r="O228" s="523"/>
      <c r="P228" s="523"/>
      <c r="Q228" s="523"/>
      <c r="R228" s="523"/>
      <c r="S228" s="523"/>
      <c r="T228" s="523"/>
      <c r="U228" s="523"/>
      <c r="V228" s="523"/>
      <c r="W228" s="523"/>
      <c r="X228" s="523"/>
      <c r="Y228" s="523"/>
      <c r="Z228" s="523"/>
    </row>
    <row r="229" spans="1:26" ht="15.75" customHeight="1">
      <c r="A229" s="523"/>
      <c r="B229" s="523"/>
      <c r="C229" s="523"/>
      <c r="D229" s="523"/>
      <c r="E229" s="523"/>
      <c r="F229" s="523"/>
      <c r="G229" s="523"/>
      <c r="H229" s="524"/>
      <c r="I229" s="523"/>
      <c r="J229" s="523"/>
      <c r="K229" s="523"/>
      <c r="L229" s="523"/>
      <c r="M229" s="523"/>
      <c r="N229" s="523"/>
      <c r="O229" s="523"/>
      <c r="P229" s="523"/>
      <c r="Q229" s="523"/>
      <c r="R229" s="523"/>
      <c r="S229" s="523"/>
      <c r="T229" s="523"/>
      <c r="U229" s="523"/>
      <c r="V229" s="523"/>
      <c r="W229" s="523"/>
      <c r="X229" s="523"/>
      <c r="Y229" s="523"/>
      <c r="Z229" s="523"/>
    </row>
    <row r="230" spans="1:26" ht="15.75" customHeight="1">
      <c r="A230" s="523"/>
      <c r="B230" s="523"/>
      <c r="C230" s="523"/>
      <c r="D230" s="523"/>
      <c r="E230" s="523"/>
      <c r="F230" s="523"/>
      <c r="G230" s="523"/>
      <c r="H230" s="524"/>
      <c r="I230" s="523"/>
      <c r="J230" s="523"/>
      <c r="K230" s="523"/>
      <c r="L230" s="523"/>
      <c r="M230" s="523"/>
      <c r="N230" s="523"/>
      <c r="O230" s="523"/>
      <c r="P230" s="523"/>
      <c r="Q230" s="523"/>
      <c r="R230" s="523"/>
      <c r="S230" s="523"/>
      <c r="T230" s="523"/>
      <c r="U230" s="523"/>
      <c r="V230" s="523"/>
      <c r="W230" s="523"/>
      <c r="X230" s="523"/>
      <c r="Y230" s="523"/>
      <c r="Z230" s="523"/>
    </row>
    <row r="231" spans="1:26" ht="15.75" customHeight="1">
      <c r="A231" s="523"/>
      <c r="B231" s="523"/>
      <c r="C231" s="523"/>
      <c r="D231" s="523"/>
      <c r="E231" s="523"/>
      <c r="F231" s="523"/>
      <c r="G231" s="523"/>
      <c r="H231" s="524"/>
      <c r="I231" s="523"/>
      <c r="J231" s="523"/>
      <c r="K231" s="523"/>
      <c r="L231" s="523"/>
      <c r="M231" s="523"/>
      <c r="N231" s="523"/>
      <c r="O231" s="523"/>
      <c r="P231" s="523"/>
      <c r="Q231" s="523"/>
      <c r="R231" s="523"/>
      <c r="S231" s="523"/>
      <c r="T231" s="523"/>
      <c r="U231" s="523"/>
      <c r="V231" s="523"/>
      <c r="W231" s="523"/>
      <c r="X231" s="523"/>
      <c r="Y231" s="523"/>
      <c r="Z231" s="523"/>
    </row>
    <row r="232" spans="1:26" ht="15.75" customHeight="1">
      <c r="A232" s="523"/>
      <c r="B232" s="523"/>
      <c r="C232" s="523"/>
      <c r="D232" s="523"/>
      <c r="E232" s="523"/>
      <c r="F232" s="523"/>
      <c r="G232" s="523"/>
      <c r="H232" s="524"/>
      <c r="I232" s="523"/>
      <c r="J232" s="523"/>
      <c r="K232" s="523"/>
      <c r="L232" s="523"/>
      <c r="M232" s="523"/>
      <c r="N232" s="523"/>
      <c r="O232" s="523"/>
      <c r="P232" s="523"/>
      <c r="Q232" s="523"/>
      <c r="R232" s="523"/>
      <c r="S232" s="523"/>
      <c r="T232" s="523"/>
      <c r="U232" s="523"/>
      <c r="V232" s="523"/>
      <c r="W232" s="523"/>
      <c r="X232" s="523"/>
      <c r="Y232" s="523"/>
      <c r="Z232" s="523"/>
    </row>
    <row r="233" spans="1:26" ht="15.75" customHeight="1">
      <c r="A233" s="523"/>
      <c r="B233" s="523"/>
      <c r="C233" s="523"/>
      <c r="D233" s="523"/>
      <c r="E233" s="523"/>
      <c r="F233" s="523"/>
      <c r="G233" s="523"/>
      <c r="H233" s="524"/>
      <c r="I233" s="523"/>
      <c r="J233" s="523"/>
      <c r="K233" s="523"/>
      <c r="L233" s="523"/>
      <c r="M233" s="523"/>
      <c r="N233" s="523"/>
      <c r="O233" s="523"/>
      <c r="P233" s="523"/>
      <c r="Q233" s="523"/>
      <c r="R233" s="523"/>
      <c r="S233" s="523"/>
      <c r="T233" s="523"/>
      <c r="U233" s="523"/>
      <c r="V233" s="523"/>
      <c r="W233" s="523"/>
      <c r="X233" s="523"/>
      <c r="Y233" s="523"/>
      <c r="Z233" s="523"/>
    </row>
    <row r="234" spans="1:26" ht="15.75" customHeight="1">
      <c r="A234" s="523"/>
      <c r="B234" s="523"/>
      <c r="C234" s="523"/>
      <c r="D234" s="523"/>
      <c r="E234" s="523"/>
      <c r="F234" s="523"/>
      <c r="G234" s="523"/>
      <c r="H234" s="524"/>
      <c r="I234" s="523"/>
      <c r="J234" s="523"/>
      <c r="K234" s="523"/>
      <c r="L234" s="523"/>
      <c r="M234" s="523"/>
      <c r="N234" s="523"/>
      <c r="O234" s="523"/>
      <c r="P234" s="523"/>
      <c r="Q234" s="523"/>
      <c r="R234" s="523"/>
      <c r="S234" s="523"/>
      <c r="T234" s="523"/>
      <c r="U234" s="523"/>
      <c r="V234" s="523"/>
      <c r="W234" s="523"/>
      <c r="X234" s="523"/>
      <c r="Y234" s="523"/>
      <c r="Z234" s="523"/>
    </row>
    <row r="235" spans="1:26" ht="15.75" customHeight="1">
      <c r="A235" s="523"/>
      <c r="B235" s="523"/>
      <c r="C235" s="523"/>
      <c r="D235" s="523"/>
      <c r="E235" s="523"/>
      <c r="F235" s="523"/>
      <c r="G235" s="523"/>
      <c r="H235" s="524"/>
      <c r="I235" s="523"/>
      <c r="J235" s="523"/>
      <c r="K235" s="523"/>
      <c r="L235" s="523"/>
      <c r="M235" s="523"/>
      <c r="N235" s="523"/>
      <c r="O235" s="523"/>
      <c r="P235" s="523"/>
      <c r="Q235" s="523"/>
      <c r="R235" s="523"/>
      <c r="S235" s="523"/>
      <c r="T235" s="523"/>
      <c r="U235" s="523"/>
      <c r="V235" s="523"/>
      <c r="W235" s="523"/>
      <c r="X235" s="523"/>
      <c r="Y235" s="523"/>
      <c r="Z235" s="523"/>
    </row>
    <row r="236" spans="1:26" ht="15.75" customHeight="1">
      <c r="A236" s="523"/>
      <c r="B236" s="523"/>
      <c r="C236" s="523"/>
      <c r="D236" s="523"/>
      <c r="E236" s="523"/>
      <c r="F236" s="523"/>
      <c r="G236" s="523"/>
      <c r="H236" s="524"/>
      <c r="I236" s="523"/>
      <c r="J236" s="523"/>
      <c r="K236" s="523"/>
      <c r="L236" s="523"/>
      <c r="M236" s="523"/>
      <c r="N236" s="523"/>
      <c r="O236" s="523"/>
      <c r="P236" s="523"/>
      <c r="Q236" s="523"/>
      <c r="R236" s="523"/>
      <c r="S236" s="523"/>
      <c r="T236" s="523"/>
      <c r="U236" s="523"/>
      <c r="V236" s="523"/>
      <c r="W236" s="523"/>
      <c r="X236" s="523"/>
      <c r="Y236" s="523"/>
      <c r="Z236" s="523"/>
    </row>
    <row r="237" spans="1:26" ht="15.75" customHeight="1">
      <c r="A237" s="523"/>
      <c r="B237" s="523"/>
      <c r="C237" s="523"/>
      <c r="D237" s="523"/>
      <c r="E237" s="523"/>
      <c r="F237" s="523"/>
      <c r="G237" s="523"/>
      <c r="H237" s="524"/>
      <c r="I237" s="523"/>
      <c r="J237" s="523"/>
      <c r="K237" s="523"/>
      <c r="L237" s="523"/>
      <c r="M237" s="523"/>
      <c r="N237" s="523"/>
      <c r="O237" s="523"/>
      <c r="P237" s="523"/>
      <c r="Q237" s="523"/>
      <c r="R237" s="523"/>
      <c r="S237" s="523"/>
      <c r="T237" s="523"/>
      <c r="U237" s="523"/>
      <c r="V237" s="523"/>
      <c r="W237" s="523"/>
      <c r="X237" s="523"/>
      <c r="Y237" s="523"/>
      <c r="Z237" s="523"/>
    </row>
    <row r="238" spans="1:26" ht="15.75" customHeight="1">
      <c r="A238" s="523"/>
      <c r="B238" s="523"/>
      <c r="C238" s="523"/>
      <c r="D238" s="523"/>
      <c r="E238" s="523"/>
      <c r="F238" s="523"/>
      <c r="G238" s="523"/>
      <c r="H238" s="524"/>
      <c r="I238" s="523"/>
      <c r="J238" s="523"/>
      <c r="K238" s="523"/>
      <c r="L238" s="523"/>
      <c r="M238" s="523"/>
      <c r="N238" s="523"/>
      <c r="O238" s="523"/>
      <c r="P238" s="523"/>
      <c r="Q238" s="523"/>
      <c r="R238" s="523"/>
      <c r="S238" s="523"/>
      <c r="T238" s="523"/>
      <c r="U238" s="523"/>
      <c r="V238" s="523"/>
      <c r="W238" s="523"/>
      <c r="X238" s="523"/>
      <c r="Y238" s="523"/>
      <c r="Z238" s="523"/>
    </row>
    <row r="239" spans="1:26" ht="15.75" customHeight="1">
      <c r="A239" s="523"/>
      <c r="B239" s="523"/>
      <c r="C239" s="523"/>
      <c r="D239" s="523"/>
      <c r="E239" s="523"/>
      <c r="F239" s="523"/>
      <c r="G239" s="523"/>
      <c r="H239" s="524"/>
      <c r="I239" s="523"/>
      <c r="J239" s="523"/>
      <c r="K239" s="523"/>
      <c r="L239" s="523"/>
      <c r="M239" s="523"/>
      <c r="N239" s="523"/>
      <c r="O239" s="523"/>
      <c r="P239" s="523"/>
      <c r="Q239" s="523"/>
      <c r="R239" s="523"/>
      <c r="S239" s="523"/>
      <c r="T239" s="523"/>
      <c r="U239" s="523"/>
      <c r="V239" s="523"/>
      <c r="W239" s="523"/>
      <c r="X239" s="523"/>
      <c r="Y239" s="523"/>
      <c r="Z239" s="523"/>
    </row>
    <row r="240" spans="1:26" ht="15.75" customHeight="1">
      <c r="A240" s="523"/>
      <c r="B240" s="523"/>
      <c r="C240" s="523"/>
      <c r="D240" s="523"/>
      <c r="E240" s="523"/>
      <c r="F240" s="523"/>
      <c r="G240" s="523"/>
      <c r="H240" s="524"/>
      <c r="I240" s="523"/>
      <c r="J240" s="523"/>
      <c r="K240" s="523"/>
      <c r="L240" s="523"/>
      <c r="M240" s="523"/>
      <c r="N240" s="523"/>
      <c r="O240" s="523"/>
      <c r="P240" s="523"/>
      <c r="Q240" s="523"/>
      <c r="R240" s="523"/>
      <c r="S240" s="523"/>
      <c r="T240" s="523"/>
      <c r="U240" s="523"/>
      <c r="V240" s="523"/>
      <c r="W240" s="523"/>
      <c r="X240" s="523"/>
      <c r="Y240" s="523"/>
      <c r="Z240" s="523"/>
    </row>
    <row r="241" spans="1:26" ht="15.75" customHeight="1">
      <c r="A241" s="523"/>
      <c r="B241" s="523"/>
      <c r="C241" s="523"/>
      <c r="D241" s="523"/>
      <c r="E241" s="523"/>
      <c r="F241" s="523"/>
      <c r="G241" s="523"/>
      <c r="H241" s="524"/>
      <c r="I241" s="523"/>
      <c r="J241" s="523"/>
      <c r="K241" s="523"/>
      <c r="L241" s="523"/>
      <c r="M241" s="523"/>
      <c r="N241" s="523"/>
      <c r="O241" s="523"/>
      <c r="P241" s="523"/>
      <c r="Q241" s="523"/>
      <c r="R241" s="523"/>
      <c r="S241" s="523"/>
      <c r="T241" s="523"/>
      <c r="U241" s="523"/>
      <c r="V241" s="523"/>
      <c r="W241" s="523"/>
      <c r="X241" s="523"/>
      <c r="Y241" s="523"/>
      <c r="Z241" s="523"/>
    </row>
    <row r="242" spans="1:26" ht="15.75" customHeight="1">
      <c r="A242" s="523"/>
      <c r="B242" s="523"/>
      <c r="C242" s="523"/>
      <c r="D242" s="523"/>
      <c r="E242" s="523"/>
      <c r="F242" s="523"/>
      <c r="G242" s="523"/>
      <c r="H242" s="524"/>
      <c r="I242" s="523"/>
      <c r="J242" s="523"/>
      <c r="K242" s="523"/>
      <c r="L242" s="523"/>
      <c r="M242" s="523"/>
      <c r="N242" s="523"/>
      <c r="O242" s="523"/>
      <c r="P242" s="523"/>
      <c r="Q242" s="523"/>
      <c r="R242" s="523"/>
      <c r="S242" s="523"/>
      <c r="T242" s="523"/>
      <c r="U242" s="523"/>
      <c r="V242" s="523"/>
      <c r="W242" s="523"/>
      <c r="X242" s="523"/>
      <c r="Y242" s="523"/>
      <c r="Z242" s="523"/>
    </row>
    <row r="243" spans="1:26" ht="15.75" customHeight="1">
      <c r="A243" s="523"/>
      <c r="B243" s="523"/>
      <c r="C243" s="523"/>
      <c r="D243" s="523"/>
      <c r="E243" s="523"/>
      <c r="F243" s="523"/>
      <c r="G243" s="523"/>
      <c r="H243" s="524"/>
      <c r="I243" s="523"/>
      <c r="J243" s="523"/>
      <c r="K243" s="523"/>
      <c r="L243" s="523"/>
      <c r="M243" s="523"/>
      <c r="N243" s="523"/>
      <c r="O243" s="523"/>
      <c r="P243" s="523"/>
      <c r="Q243" s="523"/>
      <c r="R243" s="523"/>
      <c r="S243" s="523"/>
      <c r="T243" s="523"/>
      <c r="U243" s="523"/>
      <c r="V243" s="523"/>
      <c r="W243" s="523"/>
      <c r="X243" s="523"/>
      <c r="Y243" s="523"/>
      <c r="Z243" s="523"/>
    </row>
    <row r="244" spans="1:26" ht="15.75" customHeight="1">
      <c r="A244" s="523"/>
      <c r="B244" s="523"/>
      <c r="C244" s="523"/>
      <c r="D244" s="523"/>
      <c r="E244" s="523"/>
      <c r="F244" s="523"/>
      <c r="G244" s="523"/>
      <c r="H244" s="524"/>
      <c r="I244" s="523"/>
      <c r="J244" s="523"/>
      <c r="K244" s="523"/>
      <c r="L244" s="523"/>
      <c r="M244" s="523"/>
      <c r="N244" s="523"/>
      <c r="O244" s="523"/>
      <c r="P244" s="523"/>
      <c r="Q244" s="523"/>
      <c r="R244" s="523"/>
      <c r="S244" s="523"/>
      <c r="T244" s="523"/>
      <c r="U244" s="523"/>
      <c r="V244" s="523"/>
      <c r="W244" s="523"/>
      <c r="X244" s="523"/>
      <c r="Y244" s="523"/>
      <c r="Z244" s="523"/>
    </row>
    <row r="245" spans="1:26" ht="15.75" customHeight="1">
      <c r="A245" s="523"/>
      <c r="B245" s="523"/>
      <c r="C245" s="523"/>
      <c r="D245" s="523"/>
      <c r="E245" s="523"/>
      <c r="F245" s="523"/>
      <c r="G245" s="523"/>
      <c r="H245" s="524"/>
      <c r="I245" s="523"/>
      <c r="J245" s="523"/>
      <c r="K245" s="523"/>
      <c r="L245" s="523"/>
      <c r="M245" s="523"/>
      <c r="N245" s="523"/>
      <c r="O245" s="523"/>
      <c r="P245" s="523"/>
      <c r="Q245" s="523"/>
      <c r="R245" s="523"/>
      <c r="S245" s="523"/>
      <c r="T245" s="523"/>
      <c r="U245" s="523"/>
      <c r="V245" s="523"/>
      <c r="W245" s="523"/>
      <c r="X245" s="523"/>
      <c r="Y245" s="523"/>
      <c r="Z245" s="523"/>
    </row>
    <row r="246" spans="1:26" ht="15.75" customHeight="1">
      <c r="A246" s="523"/>
      <c r="B246" s="523"/>
      <c r="C246" s="523"/>
      <c r="D246" s="523"/>
      <c r="E246" s="523"/>
      <c r="F246" s="523"/>
      <c r="G246" s="523"/>
      <c r="H246" s="524"/>
      <c r="I246" s="523"/>
      <c r="J246" s="523"/>
      <c r="K246" s="523"/>
      <c r="L246" s="523"/>
      <c r="M246" s="523"/>
      <c r="N246" s="523"/>
      <c r="O246" s="523"/>
      <c r="P246" s="523"/>
      <c r="Q246" s="523"/>
      <c r="R246" s="523"/>
      <c r="S246" s="523"/>
      <c r="T246" s="523"/>
      <c r="U246" s="523"/>
      <c r="V246" s="523"/>
      <c r="W246" s="523"/>
      <c r="X246" s="523"/>
      <c r="Y246" s="523"/>
      <c r="Z246" s="523"/>
    </row>
    <row r="247" spans="1:26" ht="15.75" customHeight="1">
      <c r="A247" s="523"/>
      <c r="B247" s="523"/>
      <c r="C247" s="523"/>
      <c r="D247" s="523"/>
      <c r="E247" s="523"/>
      <c r="F247" s="523"/>
      <c r="G247" s="523"/>
      <c r="H247" s="524"/>
      <c r="I247" s="523"/>
      <c r="J247" s="523"/>
      <c r="K247" s="523"/>
      <c r="L247" s="523"/>
      <c r="M247" s="523"/>
      <c r="N247" s="523"/>
      <c r="O247" s="523"/>
      <c r="P247" s="523"/>
      <c r="Q247" s="523"/>
      <c r="R247" s="523"/>
      <c r="S247" s="523"/>
      <c r="T247" s="523"/>
      <c r="U247" s="523"/>
      <c r="V247" s="523"/>
      <c r="W247" s="523"/>
      <c r="X247" s="523"/>
      <c r="Y247" s="523"/>
      <c r="Z247" s="523"/>
    </row>
    <row r="248" spans="1:26" ht="15.75" customHeight="1">
      <c r="A248" s="523"/>
      <c r="B248" s="523"/>
      <c r="C248" s="523"/>
      <c r="D248" s="523"/>
      <c r="E248" s="523"/>
      <c r="F248" s="523"/>
      <c r="G248" s="523"/>
      <c r="H248" s="524"/>
      <c r="I248" s="523"/>
      <c r="J248" s="523"/>
      <c r="K248" s="523"/>
      <c r="L248" s="523"/>
      <c r="M248" s="523"/>
      <c r="N248" s="523"/>
      <c r="O248" s="523"/>
      <c r="P248" s="523"/>
      <c r="Q248" s="523"/>
      <c r="R248" s="523"/>
      <c r="S248" s="523"/>
      <c r="T248" s="523"/>
      <c r="U248" s="523"/>
      <c r="V248" s="523"/>
      <c r="W248" s="523"/>
      <c r="X248" s="523"/>
      <c r="Y248" s="523"/>
      <c r="Z248" s="523"/>
    </row>
    <row r="249" spans="1:26" ht="15.75" customHeight="1">
      <c r="A249" s="523"/>
      <c r="B249" s="523"/>
      <c r="C249" s="523"/>
      <c r="D249" s="523"/>
      <c r="E249" s="523"/>
      <c r="F249" s="523"/>
      <c r="G249" s="523"/>
      <c r="H249" s="524"/>
      <c r="I249" s="523"/>
      <c r="J249" s="523"/>
      <c r="K249" s="523"/>
      <c r="L249" s="523"/>
      <c r="M249" s="523"/>
      <c r="N249" s="523"/>
      <c r="O249" s="523"/>
      <c r="P249" s="523"/>
      <c r="Q249" s="523"/>
      <c r="R249" s="523"/>
      <c r="S249" s="523"/>
      <c r="T249" s="523"/>
      <c r="U249" s="523"/>
      <c r="V249" s="523"/>
      <c r="W249" s="523"/>
      <c r="X249" s="523"/>
      <c r="Y249" s="523"/>
      <c r="Z249" s="523"/>
    </row>
    <row r="250" spans="1:26" ht="15.75" customHeight="1">
      <c r="A250" s="523"/>
      <c r="B250" s="523"/>
      <c r="C250" s="523"/>
      <c r="D250" s="523"/>
      <c r="E250" s="523"/>
      <c r="F250" s="523"/>
      <c r="G250" s="523"/>
      <c r="H250" s="524"/>
      <c r="I250" s="523"/>
      <c r="J250" s="523"/>
      <c r="K250" s="523"/>
      <c r="L250" s="523"/>
      <c r="M250" s="523"/>
      <c r="N250" s="523"/>
      <c r="O250" s="523"/>
      <c r="P250" s="523"/>
      <c r="Q250" s="523"/>
      <c r="R250" s="523"/>
      <c r="S250" s="523"/>
      <c r="T250" s="523"/>
      <c r="U250" s="523"/>
      <c r="V250" s="523"/>
      <c r="W250" s="523"/>
      <c r="X250" s="523"/>
      <c r="Y250" s="523"/>
      <c r="Z250" s="523"/>
    </row>
    <row r="251" spans="1:26" ht="15.75" customHeight="1">
      <c r="A251" s="523"/>
      <c r="B251" s="523"/>
      <c r="C251" s="523"/>
      <c r="D251" s="523"/>
      <c r="E251" s="523"/>
      <c r="F251" s="523"/>
      <c r="G251" s="523"/>
      <c r="H251" s="524"/>
      <c r="I251" s="523"/>
      <c r="J251" s="523"/>
      <c r="K251" s="523"/>
      <c r="L251" s="523"/>
      <c r="M251" s="523"/>
      <c r="N251" s="523"/>
      <c r="O251" s="523"/>
      <c r="P251" s="523"/>
      <c r="Q251" s="523"/>
      <c r="R251" s="523"/>
      <c r="S251" s="523"/>
      <c r="T251" s="523"/>
      <c r="U251" s="523"/>
      <c r="V251" s="523"/>
      <c r="W251" s="523"/>
      <c r="X251" s="523"/>
      <c r="Y251" s="523"/>
      <c r="Z251" s="523"/>
    </row>
    <row r="252" spans="1:26" ht="15.75" customHeight="1">
      <c r="A252" s="523"/>
      <c r="B252" s="523"/>
      <c r="C252" s="523"/>
      <c r="D252" s="523"/>
      <c r="E252" s="523"/>
      <c r="F252" s="523"/>
      <c r="G252" s="523"/>
      <c r="H252" s="524"/>
      <c r="I252" s="523"/>
      <c r="J252" s="523"/>
      <c r="K252" s="523"/>
      <c r="L252" s="523"/>
      <c r="M252" s="523"/>
      <c r="N252" s="523"/>
      <c r="O252" s="523"/>
      <c r="P252" s="523"/>
      <c r="Q252" s="523"/>
      <c r="R252" s="523"/>
      <c r="S252" s="523"/>
      <c r="T252" s="523"/>
      <c r="U252" s="523"/>
      <c r="V252" s="523"/>
      <c r="W252" s="523"/>
      <c r="X252" s="523"/>
      <c r="Y252" s="523"/>
      <c r="Z252" s="523"/>
    </row>
    <row r="253" spans="1:26" ht="15.75" customHeight="1">
      <c r="A253" s="523"/>
      <c r="B253" s="523"/>
      <c r="C253" s="523"/>
      <c r="D253" s="523"/>
      <c r="E253" s="523"/>
      <c r="F253" s="523"/>
      <c r="G253" s="523"/>
      <c r="H253" s="524"/>
      <c r="I253" s="523"/>
      <c r="J253" s="523"/>
      <c r="K253" s="523"/>
      <c r="L253" s="523"/>
      <c r="M253" s="523"/>
      <c r="N253" s="523"/>
      <c r="O253" s="523"/>
      <c r="P253" s="523"/>
      <c r="Q253" s="523"/>
      <c r="R253" s="523"/>
      <c r="S253" s="523"/>
      <c r="T253" s="523"/>
      <c r="U253" s="523"/>
      <c r="V253" s="523"/>
      <c r="W253" s="523"/>
      <c r="X253" s="523"/>
      <c r="Y253" s="523"/>
      <c r="Z253" s="523"/>
    </row>
    <row r="254" spans="1:26" ht="15.75" customHeight="1">
      <c r="A254" s="523"/>
      <c r="B254" s="523"/>
      <c r="C254" s="523"/>
      <c r="D254" s="523"/>
      <c r="E254" s="523"/>
      <c r="F254" s="523"/>
      <c r="G254" s="523"/>
      <c r="H254" s="524"/>
      <c r="I254" s="523"/>
      <c r="J254" s="523"/>
      <c r="K254" s="523"/>
      <c r="L254" s="523"/>
      <c r="M254" s="523"/>
      <c r="N254" s="523"/>
      <c r="O254" s="523"/>
      <c r="P254" s="523"/>
      <c r="Q254" s="523"/>
      <c r="R254" s="523"/>
      <c r="S254" s="523"/>
      <c r="T254" s="523"/>
      <c r="U254" s="523"/>
      <c r="V254" s="523"/>
      <c r="W254" s="523"/>
      <c r="X254" s="523"/>
      <c r="Y254" s="523"/>
      <c r="Z254" s="523"/>
    </row>
    <row r="255" spans="1:26" ht="15.75" customHeight="1">
      <c r="A255" s="523"/>
      <c r="B255" s="523"/>
      <c r="C255" s="523"/>
      <c r="D255" s="523"/>
      <c r="E255" s="523"/>
      <c r="F255" s="523"/>
      <c r="G255" s="523"/>
      <c r="H255" s="524"/>
      <c r="I255" s="523"/>
      <c r="J255" s="523"/>
      <c r="K255" s="523"/>
      <c r="L255" s="523"/>
      <c r="M255" s="523"/>
      <c r="N255" s="523"/>
      <c r="O255" s="523"/>
      <c r="P255" s="523"/>
      <c r="Q255" s="523"/>
      <c r="R255" s="523"/>
      <c r="S255" s="523"/>
      <c r="T255" s="523"/>
      <c r="U255" s="523"/>
      <c r="V255" s="523"/>
      <c r="W255" s="523"/>
      <c r="X255" s="523"/>
      <c r="Y255" s="523"/>
      <c r="Z255" s="523"/>
    </row>
    <row r="256" spans="1:26" ht="15.75" customHeight="1">
      <c r="A256" s="523"/>
      <c r="B256" s="523"/>
      <c r="C256" s="523"/>
      <c r="D256" s="523"/>
      <c r="E256" s="523"/>
      <c r="F256" s="523"/>
      <c r="G256" s="523"/>
      <c r="H256" s="524"/>
      <c r="I256" s="523"/>
      <c r="J256" s="523"/>
      <c r="K256" s="523"/>
      <c r="L256" s="523"/>
      <c r="M256" s="523"/>
      <c r="N256" s="523"/>
      <c r="O256" s="523"/>
      <c r="P256" s="523"/>
      <c r="Q256" s="523"/>
      <c r="R256" s="523"/>
      <c r="S256" s="523"/>
      <c r="T256" s="523"/>
      <c r="U256" s="523"/>
      <c r="V256" s="523"/>
      <c r="W256" s="523"/>
      <c r="X256" s="523"/>
      <c r="Y256" s="523"/>
      <c r="Z256" s="523"/>
    </row>
    <row r="257" spans="1:26" ht="15.75" customHeight="1">
      <c r="A257" s="523"/>
      <c r="B257" s="523"/>
      <c r="C257" s="523"/>
      <c r="D257" s="523"/>
      <c r="E257" s="523"/>
      <c r="F257" s="523"/>
      <c r="G257" s="523"/>
      <c r="H257" s="524"/>
      <c r="I257" s="523"/>
      <c r="J257" s="523"/>
      <c r="K257" s="523"/>
      <c r="L257" s="523"/>
      <c r="M257" s="523"/>
      <c r="N257" s="523"/>
      <c r="O257" s="523"/>
      <c r="P257" s="523"/>
      <c r="Q257" s="523"/>
      <c r="R257" s="523"/>
      <c r="S257" s="523"/>
      <c r="T257" s="523"/>
      <c r="U257" s="523"/>
      <c r="V257" s="523"/>
      <c r="W257" s="523"/>
      <c r="X257" s="523"/>
      <c r="Y257" s="523"/>
      <c r="Z257" s="523"/>
    </row>
    <row r="258" spans="1:26" ht="15.75" customHeight="1">
      <c r="A258" s="523"/>
      <c r="B258" s="523"/>
      <c r="C258" s="523"/>
      <c r="D258" s="523"/>
      <c r="E258" s="523"/>
      <c r="F258" s="523"/>
      <c r="G258" s="523"/>
      <c r="H258" s="524"/>
      <c r="I258" s="523"/>
      <c r="J258" s="523"/>
      <c r="K258" s="523"/>
      <c r="L258" s="523"/>
      <c r="M258" s="523"/>
      <c r="N258" s="523"/>
      <c r="O258" s="523"/>
      <c r="P258" s="523"/>
      <c r="Q258" s="523"/>
      <c r="R258" s="523"/>
      <c r="S258" s="523"/>
      <c r="T258" s="523"/>
      <c r="U258" s="523"/>
      <c r="V258" s="523"/>
      <c r="W258" s="523"/>
      <c r="X258" s="523"/>
      <c r="Y258" s="523"/>
      <c r="Z258" s="523"/>
    </row>
    <row r="259" spans="1:26" ht="15.75" customHeight="1">
      <c r="A259" s="523"/>
      <c r="B259" s="523"/>
      <c r="C259" s="523"/>
      <c r="D259" s="523"/>
      <c r="E259" s="523"/>
      <c r="F259" s="523"/>
      <c r="G259" s="523"/>
      <c r="H259" s="524"/>
      <c r="I259" s="523"/>
      <c r="J259" s="523"/>
      <c r="K259" s="523"/>
      <c r="L259" s="523"/>
      <c r="M259" s="523"/>
      <c r="N259" s="523"/>
      <c r="O259" s="523"/>
      <c r="P259" s="523"/>
      <c r="Q259" s="523"/>
      <c r="R259" s="523"/>
      <c r="S259" s="523"/>
      <c r="T259" s="523"/>
      <c r="U259" s="523"/>
      <c r="V259" s="523"/>
      <c r="W259" s="523"/>
      <c r="X259" s="523"/>
      <c r="Y259" s="523"/>
      <c r="Z259" s="523"/>
    </row>
    <row r="260" spans="1:26" ht="15.75" customHeight="1">
      <c r="A260" s="523"/>
      <c r="B260" s="523"/>
      <c r="C260" s="523"/>
      <c r="D260" s="523"/>
      <c r="E260" s="523"/>
      <c r="F260" s="523"/>
      <c r="G260" s="523"/>
      <c r="H260" s="524"/>
      <c r="I260" s="523"/>
      <c r="J260" s="523"/>
      <c r="K260" s="523"/>
      <c r="L260" s="523"/>
      <c r="M260" s="523"/>
      <c r="N260" s="523"/>
      <c r="O260" s="523"/>
      <c r="P260" s="523"/>
      <c r="Q260" s="523"/>
      <c r="R260" s="523"/>
      <c r="S260" s="523"/>
      <c r="T260" s="523"/>
      <c r="U260" s="523"/>
      <c r="V260" s="523"/>
      <c r="W260" s="523"/>
      <c r="X260" s="523"/>
      <c r="Y260" s="523"/>
      <c r="Z260" s="523"/>
    </row>
    <row r="261" spans="1:26" ht="15.75" customHeight="1">
      <c r="A261" s="523"/>
      <c r="B261" s="523"/>
      <c r="C261" s="523"/>
      <c r="D261" s="523"/>
      <c r="E261" s="523"/>
      <c r="F261" s="523"/>
      <c r="G261" s="523"/>
      <c r="H261" s="524"/>
      <c r="I261" s="523"/>
      <c r="J261" s="523"/>
      <c r="K261" s="523"/>
      <c r="L261" s="523"/>
      <c r="M261" s="523"/>
      <c r="N261" s="523"/>
      <c r="O261" s="523"/>
      <c r="P261" s="523"/>
      <c r="Q261" s="523"/>
      <c r="R261" s="523"/>
      <c r="S261" s="523"/>
      <c r="T261" s="523"/>
      <c r="U261" s="523"/>
      <c r="V261" s="523"/>
      <c r="W261" s="523"/>
      <c r="X261" s="523"/>
      <c r="Y261" s="523"/>
      <c r="Z261" s="523"/>
    </row>
    <row r="262" spans="1:26" ht="15.75" customHeight="1">
      <c r="A262" s="523"/>
      <c r="B262" s="523"/>
      <c r="C262" s="523"/>
      <c r="D262" s="523"/>
      <c r="E262" s="523"/>
      <c r="F262" s="523"/>
      <c r="G262" s="523"/>
      <c r="H262" s="524"/>
      <c r="I262" s="523"/>
      <c r="J262" s="523"/>
      <c r="K262" s="523"/>
      <c r="L262" s="523"/>
      <c r="M262" s="523"/>
      <c r="N262" s="523"/>
      <c r="O262" s="523"/>
      <c r="P262" s="523"/>
      <c r="Q262" s="523"/>
      <c r="R262" s="523"/>
      <c r="S262" s="523"/>
      <c r="T262" s="523"/>
      <c r="U262" s="523"/>
      <c r="V262" s="523"/>
      <c r="W262" s="523"/>
      <c r="X262" s="523"/>
      <c r="Y262" s="523"/>
      <c r="Z262" s="523"/>
    </row>
    <row r="263" spans="1:26" ht="15.75" customHeight="1">
      <c r="A263" s="523"/>
      <c r="B263" s="523"/>
      <c r="C263" s="523"/>
      <c r="D263" s="523"/>
      <c r="E263" s="523"/>
      <c r="F263" s="523"/>
      <c r="G263" s="523"/>
      <c r="H263" s="524"/>
      <c r="I263" s="523"/>
      <c r="J263" s="523"/>
      <c r="K263" s="523"/>
      <c r="L263" s="523"/>
      <c r="M263" s="523"/>
      <c r="N263" s="523"/>
      <c r="O263" s="523"/>
      <c r="P263" s="523"/>
      <c r="Q263" s="523"/>
      <c r="R263" s="523"/>
      <c r="S263" s="523"/>
      <c r="T263" s="523"/>
      <c r="U263" s="523"/>
      <c r="V263" s="523"/>
      <c r="W263" s="523"/>
      <c r="X263" s="523"/>
      <c r="Y263" s="523"/>
      <c r="Z263" s="523"/>
    </row>
    <row r="264" spans="1:26" ht="15.75" customHeight="1">
      <c r="A264" s="523"/>
      <c r="B264" s="523"/>
      <c r="C264" s="523"/>
      <c r="D264" s="523"/>
      <c r="E264" s="523"/>
      <c r="F264" s="523"/>
      <c r="G264" s="523"/>
      <c r="H264" s="524"/>
      <c r="I264" s="523"/>
      <c r="J264" s="523"/>
      <c r="K264" s="523"/>
      <c r="L264" s="523"/>
      <c r="M264" s="523"/>
      <c r="N264" s="523"/>
      <c r="O264" s="523"/>
      <c r="P264" s="523"/>
      <c r="Q264" s="523"/>
      <c r="R264" s="523"/>
      <c r="S264" s="523"/>
      <c r="T264" s="523"/>
      <c r="U264" s="523"/>
      <c r="V264" s="523"/>
      <c r="W264" s="523"/>
      <c r="X264" s="523"/>
      <c r="Y264" s="523"/>
      <c r="Z264" s="523"/>
    </row>
    <row r="265" spans="1:26" ht="15.75" customHeight="1">
      <c r="A265" s="523"/>
      <c r="B265" s="523"/>
      <c r="C265" s="523"/>
      <c r="D265" s="523"/>
      <c r="E265" s="523"/>
      <c r="F265" s="523"/>
      <c r="G265" s="523"/>
      <c r="H265" s="524"/>
      <c r="I265" s="523"/>
      <c r="J265" s="523"/>
      <c r="K265" s="523"/>
      <c r="L265" s="523"/>
      <c r="M265" s="523"/>
      <c r="N265" s="523"/>
      <c r="O265" s="523"/>
      <c r="P265" s="523"/>
      <c r="Q265" s="523"/>
      <c r="R265" s="523"/>
      <c r="S265" s="523"/>
      <c r="T265" s="523"/>
      <c r="U265" s="523"/>
      <c r="V265" s="523"/>
      <c r="W265" s="523"/>
      <c r="X265" s="523"/>
      <c r="Y265" s="523"/>
      <c r="Z265" s="523"/>
    </row>
    <row r="266" spans="1:26" ht="15.75" customHeight="1">
      <c r="A266" s="523"/>
      <c r="B266" s="523"/>
      <c r="C266" s="523"/>
      <c r="D266" s="523"/>
      <c r="E266" s="523"/>
      <c r="F266" s="523"/>
      <c r="G266" s="523"/>
      <c r="H266" s="524"/>
      <c r="I266" s="523"/>
      <c r="J266" s="523"/>
      <c r="K266" s="523"/>
      <c r="L266" s="523"/>
      <c r="M266" s="523"/>
      <c r="N266" s="523"/>
      <c r="O266" s="523"/>
      <c r="P266" s="523"/>
      <c r="Q266" s="523"/>
      <c r="R266" s="523"/>
      <c r="S266" s="523"/>
      <c r="T266" s="523"/>
      <c r="U266" s="523"/>
      <c r="V266" s="523"/>
      <c r="W266" s="523"/>
      <c r="X266" s="523"/>
      <c r="Y266" s="523"/>
      <c r="Z266" s="523"/>
    </row>
    <row r="267" spans="1:26" ht="15.75" customHeight="1">
      <c r="A267" s="523"/>
      <c r="B267" s="523"/>
      <c r="C267" s="523"/>
      <c r="D267" s="523"/>
      <c r="E267" s="523"/>
      <c r="F267" s="523"/>
      <c r="G267" s="523"/>
      <c r="H267" s="524"/>
      <c r="I267" s="523"/>
      <c r="J267" s="523"/>
      <c r="K267" s="523"/>
      <c r="L267" s="523"/>
      <c r="M267" s="523"/>
      <c r="N267" s="523"/>
      <c r="O267" s="523"/>
      <c r="P267" s="523"/>
      <c r="Q267" s="523"/>
      <c r="R267" s="523"/>
      <c r="S267" s="523"/>
      <c r="T267" s="523"/>
      <c r="U267" s="523"/>
      <c r="V267" s="523"/>
      <c r="W267" s="523"/>
      <c r="X267" s="523"/>
      <c r="Y267" s="523"/>
      <c r="Z267" s="523"/>
    </row>
    <row r="268" spans="1:26" ht="15.75" customHeight="1">
      <c r="A268" s="523"/>
      <c r="B268" s="523"/>
      <c r="C268" s="523"/>
      <c r="D268" s="523"/>
      <c r="E268" s="523"/>
      <c r="F268" s="523"/>
      <c r="G268" s="523"/>
      <c r="H268" s="524"/>
      <c r="I268" s="523"/>
      <c r="J268" s="523"/>
      <c r="K268" s="523"/>
      <c r="L268" s="523"/>
      <c r="M268" s="523"/>
      <c r="N268" s="523"/>
      <c r="O268" s="523"/>
      <c r="P268" s="523"/>
      <c r="Q268" s="523"/>
      <c r="R268" s="523"/>
      <c r="S268" s="523"/>
      <c r="T268" s="523"/>
      <c r="U268" s="523"/>
      <c r="V268" s="523"/>
      <c r="W268" s="523"/>
      <c r="X268" s="523"/>
      <c r="Y268" s="523"/>
      <c r="Z268" s="523"/>
    </row>
    <row r="269" spans="1:26" ht="15.75" customHeight="1">
      <c r="A269" s="523"/>
      <c r="B269" s="523"/>
      <c r="C269" s="523"/>
      <c r="D269" s="523"/>
      <c r="E269" s="523"/>
      <c r="F269" s="523"/>
      <c r="G269" s="523"/>
      <c r="H269" s="524"/>
      <c r="I269" s="523"/>
      <c r="J269" s="523"/>
      <c r="K269" s="523"/>
      <c r="L269" s="523"/>
      <c r="M269" s="523"/>
      <c r="N269" s="523"/>
      <c r="O269" s="523"/>
      <c r="P269" s="523"/>
      <c r="Q269" s="523"/>
      <c r="R269" s="523"/>
      <c r="S269" s="523"/>
      <c r="T269" s="523"/>
      <c r="U269" s="523"/>
      <c r="V269" s="523"/>
      <c r="W269" s="523"/>
      <c r="X269" s="523"/>
      <c r="Y269" s="523"/>
      <c r="Z269" s="523"/>
    </row>
    <row r="270" spans="1:26" ht="15.75" customHeight="1">
      <c r="A270" s="523"/>
      <c r="B270" s="523"/>
      <c r="C270" s="523"/>
      <c r="D270" s="523"/>
      <c r="E270" s="523"/>
      <c r="F270" s="523"/>
      <c r="G270" s="523"/>
      <c r="H270" s="524"/>
      <c r="I270" s="523"/>
      <c r="J270" s="523"/>
      <c r="K270" s="523"/>
      <c r="L270" s="523"/>
      <c r="M270" s="523"/>
      <c r="N270" s="523"/>
      <c r="O270" s="523"/>
      <c r="P270" s="523"/>
      <c r="Q270" s="523"/>
      <c r="R270" s="523"/>
      <c r="S270" s="523"/>
      <c r="T270" s="523"/>
      <c r="U270" s="523"/>
      <c r="V270" s="523"/>
      <c r="W270" s="523"/>
      <c r="X270" s="523"/>
      <c r="Y270" s="523"/>
      <c r="Z270" s="523"/>
    </row>
    <row r="271" spans="1:26" ht="15.75" customHeight="1">
      <c r="A271" s="523"/>
      <c r="B271" s="523"/>
      <c r="C271" s="523"/>
      <c r="D271" s="523"/>
      <c r="E271" s="523"/>
      <c r="F271" s="523"/>
      <c r="G271" s="523"/>
      <c r="H271" s="524"/>
      <c r="I271" s="523"/>
      <c r="J271" s="523"/>
      <c r="K271" s="523"/>
      <c r="L271" s="523"/>
      <c r="M271" s="523"/>
      <c r="N271" s="523"/>
      <c r="O271" s="523"/>
      <c r="P271" s="523"/>
      <c r="Q271" s="523"/>
      <c r="R271" s="523"/>
      <c r="S271" s="523"/>
      <c r="T271" s="523"/>
      <c r="U271" s="523"/>
      <c r="V271" s="523"/>
      <c r="W271" s="523"/>
      <c r="X271" s="523"/>
      <c r="Y271" s="523"/>
      <c r="Z271" s="523"/>
    </row>
    <row r="272" spans="1:26" ht="15.75" customHeight="1">
      <c r="A272" s="523"/>
      <c r="B272" s="523"/>
      <c r="C272" s="523"/>
      <c r="D272" s="523"/>
      <c r="E272" s="523"/>
      <c r="F272" s="523"/>
      <c r="G272" s="523"/>
      <c r="H272" s="524"/>
      <c r="I272" s="523"/>
      <c r="J272" s="523"/>
      <c r="K272" s="523"/>
      <c r="L272" s="523"/>
      <c r="M272" s="523"/>
      <c r="N272" s="523"/>
      <c r="O272" s="523"/>
      <c r="P272" s="523"/>
      <c r="Q272" s="523"/>
      <c r="R272" s="523"/>
      <c r="S272" s="523"/>
      <c r="T272" s="523"/>
      <c r="U272" s="523"/>
      <c r="V272" s="523"/>
      <c r="W272" s="523"/>
      <c r="X272" s="523"/>
      <c r="Y272" s="523"/>
      <c r="Z272" s="523"/>
    </row>
    <row r="273" spans="1:26" ht="15.75" customHeight="1">
      <c r="A273" s="523"/>
      <c r="B273" s="523"/>
      <c r="C273" s="523"/>
      <c r="D273" s="523"/>
      <c r="E273" s="523"/>
      <c r="F273" s="523"/>
      <c r="G273" s="523"/>
      <c r="H273" s="524"/>
      <c r="I273" s="523"/>
      <c r="J273" s="523"/>
      <c r="K273" s="523"/>
      <c r="L273" s="523"/>
      <c r="M273" s="523"/>
      <c r="N273" s="523"/>
      <c r="O273" s="523"/>
      <c r="P273" s="523"/>
      <c r="Q273" s="523"/>
      <c r="R273" s="523"/>
      <c r="S273" s="523"/>
      <c r="T273" s="523"/>
      <c r="U273" s="523"/>
      <c r="V273" s="523"/>
      <c r="W273" s="523"/>
      <c r="X273" s="523"/>
      <c r="Y273" s="523"/>
      <c r="Z273" s="523"/>
    </row>
    <row r="274" spans="1:26" ht="15.75" customHeight="1">
      <c r="A274" s="523"/>
      <c r="B274" s="523"/>
      <c r="C274" s="523"/>
      <c r="D274" s="523"/>
      <c r="E274" s="523"/>
      <c r="F274" s="523"/>
      <c r="G274" s="523"/>
      <c r="H274" s="524"/>
      <c r="I274" s="523"/>
      <c r="J274" s="523"/>
      <c r="K274" s="523"/>
      <c r="L274" s="523"/>
      <c r="M274" s="523"/>
      <c r="N274" s="523"/>
      <c r="O274" s="523"/>
      <c r="P274" s="523"/>
      <c r="Q274" s="523"/>
      <c r="R274" s="523"/>
      <c r="S274" s="523"/>
      <c r="T274" s="523"/>
      <c r="U274" s="523"/>
      <c r="V274" s="523"/>
      <c r="W274" s="523"/>
      <c r="X274" s="523"/>
      <c r="Y274" s="523"/>
      <c r="Z274" s="523"/>
    </row>
    <row r="275" spans="1:26" ht="15.75" customHeight="1">
      <c r="A275" s="523"/>
      <c r="B275" s="523"/>
      <c r="C275" s="523"/>
      <c r="D275" s="523"/>
      <c r="E275" s="523"/>
      <c r="F275" s="523"/>
      <c r="G275" s="523"/>
      <c r="H275" s="524"/>
      <c r="I275" s="523"/>
      <c r="J275" s="523"/>
      <c r="K275" s="523"/>
      <c r="L275" s="523"/>
      <c r="M275" s="523"/>
      <c r="N275" s="523"/>
      <c r="O275" s="523"/>
      <c r="P275" s="523"/>
      <c r="Q275" s="523"/>
      <c r="R275" s="523"/>
      <c r="S275" s="523"/>
      <c r="T275" s="523"/>
      <c r="U275" s="523"/>
      <c r="V275" s="523"/>
      <c r="W275" s="523"/>
      <c r="X275" s="523"/>
      <c r="Y275" s="523"/>
      <c r="Z275" s="523"/>
    </row>
    <row r="276" spans="1:26" ht="15.75" customHeight="1">
      <c r="A276" s="523"/>
      <c r="B276" s="523"/>
      <c r="C276" s="523"/>
      <c r="D276" s="523"/>
      <c r="E276" s="523"/>
      <c r="F276" s="523"/>
      <c r="G276" s="523"/>
      <c r="H276" s="524"/>
      <c r="I276" s="523"/>
      <c r="J276" s="523"/>
      <c r="K276" s="523"/>
      <c r="L276" s="523"/>
      <c r="M276" s="523"/>
      <c r="N276" s="523"/>
      <c r="O276" s="523"/>
      <c r="P276" s="523"/>
      <c r="Q276" s="523"/>
      <c r="R276" s="523"/>
      <c r="S276" s="523"/>
      <c r="T276" s="523"/>
      <c r="U276" s="523"/>
      <c r="V276" s="523"/>
      <c r="W276" s="523"/>
      <c r="X276" s="523"/>
      <c r="Y276" s="523"/>
      <c r="Z276" s="523"/>
    </row>
    <row r="277" spans="1:26" ht="15.75" customHeight="1">
      <c r="A277" s="523"/>
      <c r="B277" s="523"/>
      <c r="C277" s="523"/>
      <c r="D277" s="523"/>
      <c r="E277" s="523"/>
      <c r="F277" s="523"/>
      <c r="G277" s="523"/>
      <c r="H277" s="524"/>
      <c r="I277" s="523"/>
      <c r="J277" s="523"/>
      <c r="K277" s="523"/>
      <c r="L277" s="523"/>
      <c r="M277" s="523"/>
      <c r="N277" s="523"/>
      <c r="O277" s="523"/>
      <c r="P277" s="523"/>
      <c r="Q277" s="523"/>
      <c r="R277" s="523"/>
      <c r="S277" s="523"/>
      <c r="T277" s="523"/>
      <c r="U277" s="523"/>
      <c r="V277" s="523"/>
      <c r="W277" s="523"/>
      <c r="X277" s="523"/>
      <c r="Y277" s="523"/>
      <c r="Z277" s="523"/>
    </row>
    <row r="278" spans="1:26" ht="15.75" customHeight="1">
      <c r="A278" s="523"/>
      <c r="B278" s="523"/>
      <c r="C278" s="523"/>
      <c r="D278" s="523"/>
      <c r="E278" s="523"/>
      <c r="F278" s="523"/>
      <c r="G278" s="523"/>
      <c r="H278" s="524"/>
      <c r="I278" s="523"/>
      <c r="J278" s="523"/>
      <c r="K278" s="523"/>
      <c r="L278" s="523"/>
      <c r="M278" s="523"/>
      <c r="N278" s="523"/>
      <c r="O278" s="523"/>
      <c r="P278" s="523"/>
      <c r="Q278" s="523"/>
      <c r="R278" s="523"/>
      <c r="S278" s="523"/>
      <c r="T278" s="523"/>
      <c r="U278" s="523"/>
      <c r="V278" s="523"/>
      <c r="W278" s="523"/>
      <c r="X278" s="523"/>
      <c r="Y278" s="523"/>
      <c r="Z278" s="523"/>
    </row>
    <row r="279" spans="1:26" ht="15.75" customHeight="1">
      <c r="A279" s="523"/>
      <c r="B279" s="523"/>
      <c r="C279" s="523"/>
      <c r="D279" s="523"/>
      <c r="E279" s="523"/>
      <c r="F279" s="523"/>
      <c r="G279" s="523"/>
      <c r="H279" s="524"/>
      <c r="I279" s="523"/>
      <c r="J279" s="523"/>
      <c r="K279" s="523"/>
      <c r="L279" s="523"/>
      <c r="M279" s="523"/>
      <c r="N279" s="523"/>
      <c r="O279" s="523"/>
      <c r="P279" s="523"/>
      <c r="Q279" s="523"/>
      <c r="R279" s="523"/>
      <c r="S279" s="523"/>
      <c r="T279" s="523"/>
      <c r="U279" s="523"/>
      <c r="V279" s="523"/>
      <c r="W279" s="523"/>
      <c r="X279" s="523"/>
      <c r="Y279" s="523"/>
      <c r="Z279" s="523"/>
    </row>
    <row r="280" spans="1:26" ht="15.75" customHeight="1">
      <c r="A280" s="523"/>
      <c r="B280" s="523"/>
      <c r="C280" s="523"/>
      <c r="D280" s="523"/>
      <c r="E280" s="523"/>
      <c r="F280" s="523"/>
      <c r="G280" s="523"/>
      <c r="H280" s="524"/>
      <c r="I280" s="523"/>
      <c r="J280" s="523"/>
      <c r="K280" s="523"/>
      <c r="L280" s="523"/>
      <c r="M280" s="523"/>
      <c r="N280" s="523"/>
      <c r="O280" s="523"/>
      <c r="P280" s="523"/>
      <c r="Q280" s="523"/>
      <c r="R280" s="523"/>
      <c r="S280" s="523"/>
      <c r="T280" s="523"/>
      <c r="U280" s="523"/>
      <c r="V280" s="523"/>
      <c r="W280" s="523"/>
      <c r="X280" s="523"/>
      <c r="Y280" s="523"/>
      <c r="Z280" s="523"/>
    </row>
    <row r="281" spans="1:26" ht="15.75" customHeight="1">
      <c r="A281" s="523"/>
      <c r="B281" s="523"/>
      <c r="C281" s="523"/>
      <c r="D281" s="523"/>
      <c r="E281" s="523"/>
      <c r="F281" s="523"/>
      <c r="G281" s="523"/>
      <c r="H281" s="524"/>
      <c r="I281" s="523"/>
      <c r="J281" s="523"/>
      <c r="K281" s="523"/>
      <c r="L281" s="523"/>
      <c r="M281" s="523"/>
      <c r="N281" s="523"/>
      <c r="O281" s="523"/>
      <c r="P281" s="523"/>
      <c r="Q281" s="523"/>
      <c r="R281" s="523"/>
      <c r="S281" s="523"/>
      <c r="T281" s="523"/>
      <c r="U281" s="523"/>
      <c r="V281" s="523"/>
      <c r="W281" s="523"/>
      <c r="X281" s="523"/>
      <c r="Y281" s="523"/>
      <c r="Z281" s="523"/>
    </row>
    <row r="282" spans="1:26" ht="15.75" customHeight="1">
      <c r="A282" s="523"/>
      <c r="B282" s="523"/>
      <c r="C282" s="523"/>
      <c r="D282" s="523"/>
      <c r="E282" s="523"/>
      <c r="F282" s="523"/>
      <c r="G282" s="523"/>
      <c r="H282" s="524"/>
      <c r="I282" s="523"/>
      <c r="J282" s="523"/>
      <c r="K282" s="523"/>
      <c r="L282" s="523"/>
      <c r="M282" s="523"/>
      <c r="N282" s="523"/>
      <c r="O282" s="523"/>
      <c r="P282" s="523"/>
      <c r="Q282" s="523"/>
      <c r="R282" s="523"/>
      <c r="S282" s="523"/>
      <c r="T282" s="523"/>
      <c r="U282" s="523"/>
      <c r="V282" s="523"/>
      <c r="W282" s="523"/>
      <c r="X282" s="523"/>
      <c r="Y282" s="523"/>
      <c r="Z282" s="523"/>
    </row>
    <row r="283" spans="1:26" ht="15.75" customHeight="1">
      <c r="A283" s="523"/>
      <c r="B283" s="523"/>
      <c r="C283" s="523"/>
      <c r="D283" s="523"/>
      <c r="E283" s="523"/>
      <c r="F283" s="523"/>
      <c r="G283" s="523"/>
      <c r="H283" s="524"/>
      <c r="I283" s="523"/>
      <c r="J283" s="523"/>
      <c r="K283" s="523"/>
      <c r="L283" s="523"/>
      <c r="M283" s="523"/>
      <c r="N283" s="523"/>
      <c r="O283" s="523"/>
      <c r="P283" s="523"/>
      <c r="Q283" s="523"/>
      <c r="R283" s="523"/>
      <c r="S283" s="523"/>
      <c r="T283" s="523"/>
      <c r="U283" s="523"/>
      <c r="V283" s="523"/>
      <c r="W283" s="523"/>
      <c r="X283" s="523"/>
      <c r="Y283" s="523"/>
      <c r="Z283" s="523"/>
    </row>
    <row r="284" spans="1:26" ht="15.75" customHeight="1">
      <c r="A284" s="523"/>
      <c r="B284" s="523"/>
      <c r="C284" s="523"/>
      <c r="D284" s="523"/>
      <c r="E284" s="523"/>
      <c r="F284" s="523"/>
      <c r="G284" s="523"/>
      <c r="H284" s="524"/>
      <c r="I284" s="523"/>
      <c r="J284" s="523"/>
      <c r="K284" s="523"/>
      <c r="L284" s="523"/>
      <c r="M284" s="523"/>
      <c r="N284" s="523"/>
      <c r="O284" s="523"/>
      <c r="P284" s="523"/>
      <c r="Q284" s="523"/>
      <c r="R284" s="523"/>
      <c r="S284" s="523"/>
      <c r="T284" s="523"/>
      <c r="U284" s="523"/>
      <c r="V284" s="523"/>
      <c r="W284" s="523"/>
      <c r="X284" s="523"/>
      <c r="Y284" s="523"/>
      <c r="Z284" s="523"/>
    </row>
    <row r="285" spans="1:26" ht="15.75" customHeight="1">
      <c r="A285" s="523"/>
      <c r="B285" s="523"/>
      <c r="C285" s="523"/>
      <c r="D285" s="523"/>
      <c r="E285" s="523"/>
      <c r="F285" s="523"/>
      <c r="G285" s="523"/>
      <c r="H285" s="524"/>
      <c r="I285" s="523"/>
      <c r="J285" s="523"/>
      <c r="K285" s="523"/>
      <c r="L285" s="523"/>
      <c r="M285" s="523"/>
      <c r="N285" s="523"/>
      <c r="O285" s="523"/>
      <c r="P285" s="523"/>
      <c r="Q285" s="523"/>
      <c r="R285" s="523"/>
      <c r="S285" s="523"/>
      <c r="T285" s="523"/>
      <c r="U285" s="523"/>
      <c r="V285" s="523"/>
      <c r="W285" s="523"/>
      <c r="X285" s="523"/>
      <c r="Y285" s="523"/>
      <c r="Z285" s="523"/>
    </row>
    <row r="286" spans="1:26" ht="15.75" customHeight="1">
      <c r="A286" s="523"/>
      <c r="B286" s="523"/>
      <c r="C286" s="523"/>
      <c r="D286" s="523"/>
      <c r="E286" s="523"/>
      <c r="F286" s="523"/>
      <c r="G286" s="523"/>
      <c r="H286" s="524"/>
      <c r="I286" s="523"/>
      <c r="J286" s="523"/>
      <c r="K286" s="523"/>
      <c r="L286" s="523"/>
      <c r="M286" s="523"/>
      <c r="N286" s="523"/>
      <c r="O286" s="523"/>
      <c r="P286" s="523"/>
      <c r="Q286" s="523"/>
      <c r="R286" s="523"/>
      <c r="S286" s="523"/>
      <c r="T286" s="523"/>
      <c r="U286" s="523"/>
      <c r="V286" s="523"/>
      <c r="W286" s="523"/>
      <c r="X286" s="523"/>
      <c r="Y286" s="523"/>
      <c r="Z286" s="523"/>
    </row>
    <row r="287" spans="1:26" ht="15.75" customHeight="1">
      <c r="A287" s="523"/>
      <c r="B287" s="523"/>
      <c r="C287" s="523"/>
      <c r="D287" s="523"/>
      <c r="E287" s="523"/>
      <c r="F287" s="523"/>
      <c r="G287" s="523"/>
      <c r="H287" s="524"/>
      <c r="I287" s="523"/>
      <c r="J287" s="523"/>
      <c r="K287" s="523"/>
      <c r="L287" s="523"/>
      <c r="M287" s="523"/>
      <c r="N287" s="523"/>
      <c r="O287" s="523"/>
      <c r="P287" s="523"/>
      <c r="Q287" s="523"/>
      <c r="R287" s="523"/>
      <c r="S287" s="523"/>
      <c r="T287" s="523"/>
      <c r="U287" s="523"/>
      <c r="V287" s="523"/>
      <c r="W287" s="523"/>
      <c r="X287" s="523"/>
      <c r="Y287" s="523"/>
      <c r="Z287" s="523"/>
    </row>
    <row r="288" spans="1:26" ht="15.75" customHeight="1">
      <c r="A288" s="523"/>
      <c r="B288" s="523"/>
      <c r="C288" s="523"/>
      <c r="D288" s="523"/>
      <c r="E288" s="523"/>
      <c r="F288" s="523"/>
      <c r="G288" s="523"/>
      <c r="H288" s="524"/>
      <c r="I288" s="523"/>
      <c r="J288" s="523"/>
      <c r="K288" s="523"/>
      <c r="L288" s="523"/>
      <c r="M288" s="523"/>
      <c r="N288" s="523"/>
      <c r="O288" s="523"/>
      <c r="P288" s="523"/>
      <c r="Q288" s="523"/>
      <c r="R288" s="523"/>
      <c r="S288" s="523"/>
      <c r="T288" s="523"/>
      <c r="U288" s="523"/>
      <c r="V288" s="523"/>
      <c r="W288" s="523"/>
      <c r="X288" s="523"/>
      <c r="Y288" s="523"/>
      <c r="Z288" s="523"/>
    </row>
    <row r="289" spans="1:26" ht="15.75" customHeight="1">
      <c r="A289" s="523"/>
      <c r="B289" s="523"/>
      <c r="C289" s="523"/>
      <c r="D289" s="523"/>
      <c r="E289" s="523"/>
      <c r="F289" s="523"/>
      <c r="G289" s="523"/>
      <c r="H289" s="524"/>
      <c r="I289" s="523"/>
      <c r="J289" s="523"/>
      <c r="K289" s="523"/>
      <c r="L289" s="523"/>
      <c r="M289" s="523"/>
      <c r="N289" s="523"/>
      <c r="O289" s="523"/>
      <c r="P289" s="523"/>
      <c r="Q289" s="523"/>
      <c r="R289" s="523"/>
      <c r="S289" s="523"/>
      <c r="T289" s="523"/>
      <c r="U289" s="523"/>
      <c r="V289" s="523"/>
      <c r="W289" s="523"/>
      <c r="X289" s="523"/>
      <c r="Y289" s="523"/>
      <c r="Z289" s="523"/>
    </row>
    <row r="290" spans="1:26" ht="15.75" customHeight="1">
      <c r="A290" s="523"/>
      <c r="B290" s="523"/>
      <c r="C290" s="523"/>
      <c r="D290" s="523"/>
      <c r="E290" s="523"/>
      <c r="F290" s="523"/>
      <c r="G290" s="523"/>
      <c r="H290" s="524"/>
      <c r="I290" s="523"/>
      <c r="J290" s="523"/>
      <c r="K290" s="523"/>
      <c r="L290" s="523"/>
      <c r="M290" s="523"/>
      <c r="N290" s="523"/>
      <c r="O290" s="523"/>
      <c r="P290" s="523"/>
      <c r="Q290" s="523"/>
      <c r="R290" s="523"/>
      <c r="S290" s="523"/>
      <c r="T290" s="523"/>
      <c r="U290" s="523"/>
      <c r="V290" s="523"/>
      <c r="W290" s="523"/>
      <c r="X290" s="523"/>
      <c r="Y290" s="523"/>
      <c r="Z290" s="523"/>
    </row>
    <row r="291" spans="1:26" ht="15.75" customHeight="1">
      <c r="A291" s="523"/>
      <c r="B291" s="523"/>
      <c r="C291" s="523"/>
      <c r="D291" s="523"/>
      <c r="E291" s="523"/>
      <c r="F291" s="523"/>
      <c r="G291" s="523"/>
      <c r="H291" s="524"/>
      <c r="I291" s="523"/>
      <c r="J291" s="523"/>
      <c r="K291" s="523"/>
      <c r="L291" s="523"/>
      <c r="M291" s="523"/>
      <c r="N291" s="523"/>
      <c r="O291" s="523"/>
      <c r="P291" s="523"/>
      <c r="Q291" s="523"/>
      <c r="R291" s="523"/>
      <c r="S291" s="523"/>
      <c r="T291" s="523"/>
      <c r="U291" s="523"/>
      <c r="V291" s="523"/>
      <c r="W291" s="523"/>
      <c r="X291" s="523"/>
      <c r="Y291" s="523"/>
      <c r="Z291" s="523"/>
    </row>
    <row r="292" spans="1:26" ht="15.75" customHeight="1">
      <c r="A292" s="523"/>
      <c r="B292" s="523"/>
      <c r="C292" s="523"/>
      <c r="D292" s="523"/>
      <c r="E292" s="523"/>
      <c r="F292" s="523"/>
      <c r="G292" s="523"/>
      <c r="H292" s="524"/>
      <c r="I292" s="523"/>
      <c r="J292" s="523"/>
      <c r="K292" s="523"/>
      <c r="L292" s="523"/>
      <c r="M292" s="523"/>
      <c r="N292" s="523"/>
      <c r="O292" s="523"/>
      <c r="P292" s="523"/>
      <c r="Q292" s="523"/>
      <c r="R292" s="523"/>
      <c r="S292" s="523"/>
      <c r="T292" s="523"/>
      <c r="U292" s="523"/>
      <c r="V292" s="523"/>
      <c r="W292" s="523"/>
      <c r="X292" s="523"/>
      <c r="Y292" s="523"/>
      <c r="Z292" s="523"/>
    </row>
    <row r="293" spans="1:26" ht="15.75" customHeight="1">
      <c r="A293" s="523"/>
      <c r="B293" s="523"/>
      <c r="C293" s="523"/>
      <c r="D293" s="523"/>
      <c r="E293" s="523"/>
      <c r="F293" s="523"/>
      <c r="G293" s="523"/>
      <c r="H293" s="524"/>
      <c r="I293" s="523"/>
      <c r="J293" s="523"/>
      <c r="K293" s="523"/>
      <c r="L293" s="523"/>
      <c r="M293" s="523"/>
      <c r="N293" s="523"/>
      <c r="O293" s="523"/>
      <c r="P293" s="523"/>
      <c r="Q293" s="523"/>
      <c r="R293" s="523"/>
      <c r="S293" s="523"/>
      <c r="T293" s="523"/>
      <c r="U293" s="523"/>
      <c r="V293" s="523"/>
      <c r="W293" s="523"/>
      <c r="X293" s="523"/>
      <c r="Y293" s="523"/>
      <c r="Z293" s="523"/>
    </row>
    <row r="294" spans="1:26" ht="15.75" customHeight="1">
      <c r="A294" s="523"/>
      <c r="B294" s="523"/>
      <c r="C294" s="523"/>
      <c r="D294" s="523"/>
      <c r="E294" s="523"/>
      <c r="F294" s="523"/>
      <c r="G294" s="523"/>
      <c r="H294" s="524"/>
      <c r="I294" s="523"/>
      <c r="J294" s="523"/>
      <c r="K294" s="523"/>
      <c r="L294" s="523"/>
      <c r="M294" s="523"/>
      <c r="N294" s="523"/>
      <c r="O294" s="523"/>
      <c r="P294" s="523"/>
      <c r="Q294" s="523"/>
      <c r="R294" s="523"/>
      <c r="S294" s="523"/>
      <c r="T294" s="523"/>
      <c r="U294" s="523"/>
      <c r="V294" s="523"/>
      <c r="W294" s="523"/>
      <c r="X294" s="523"/>
      <c r="Y294" s="523"/>
      <c r="Z294" s="523"/>
    </row>
    <row r="295" spans="1:26" ht="15.75" customHeight="1">
      <c r="A295" s="523"/>
      <c r="B295" s="523"/>
      <c r="C295" s="523"/>
      <c r="D295" s="523"/>
      <c r="E295" s="523"/>
      <c r="F295" s="523"/>
      <c r="G295" s="523"/>
      <c r="H295" s="524"/>
      <c r="I295" s="523"/>
      <c r="J295" s="523"/>
      <c r="K295" s="523"/>
      <c r="L295" s="523"/>
      <c r="M295" s="523"/>
      <c r="N295" s="523"/>
      <c r="O295" s="523"/>
      <c r="P295" s="523"/>
      <c r="Q295" s="523"/>
      <c r="R295" s="523"/>
      <c r="S295" s="523"/>
      <c r="T295" s="523"/>
      <c r="U295" s="523"/>
      <c r="V295" s="523"/>
      <c r="W295" s="523"/>
      <c r="X295" s="523"/>
      <c r="Y295" s="523"/>
      <c r="Z295" s="523"/>
    </row>
    <row r="296" spans="1:26" ht="15.75" customHeight="1">
      <c r="A296" s="523"/>
      <c r="B296" s="523"/>
      <c r="C296" s="523"/>
      <c r="D296" s="523"/>
      <c r="E296" s="523"/>
      <c r="F296" s="523"/>
      <c r="G296" s="523"/>
      <c r="H296" s="524"/>
      <c r="I296" s="523"/>
      <c r="J296" s="523"/>
      <c r="K296" s="523"/>
      <c r="L296" s="523"/>
      <c r="M296" s="523"/>
      <c r="N296" s="523"/>
      <c r="O296" s="523"/>
      <c r="P296" s="523"/>
      <c r="Q296" s="523"/>
      <c r="R296" s="523"/>
      <c r="S296" s="523"/>
      <c r="T296" s="523"/>
      <c r="U296" s="523"/>
      <c r="V296" s="523"/>
      <c r="W296" s="523"/>
      <c r="X296" s="523"/>
      <c r="Y296" s="523"/>
      <c r="Z296" s="523"/>
    </row>
    <row r="297" spans="1:26" ht="15.75" customHeight="1">
      <c r="A297" s="523"/>
      <c r="B297" s="523"/>
      <c r="C297" s="523"/>
      <c r="D297" s="523"/>
      <c r="E297" s="523"/>
      <c r="F297" s="523"/>
      <c r="G297" s="523"/>
      <c r="H297" s="524"/>
      <c r="I297" s="523"/>
      <c r="J297" s="523"/>
      <c r="K297" s="523"/>
      <c r="L297" s="523"/>
      <c r="M297" s="523"/>
      <c r="N297" s="523"/>
      <c r="O297" s="523"/>
      <c r="P297" s="523"/>
      <c r="Q297" s="523"/>
      <c r="R297" s="523"/>
      <c r="S297" s="523"/>
      <c r="T297" s="523"/>
      <c r="U297" s="523"/>
      <c r="V297" s="523"/>
      <c r="W297" s="523"/>
      <c r="X297" s="523"/>
      <c r="Y297" s="523"/>
      <c r="Z297" s="523"/>
    </row>
    <row r="298" spans="1:26" ht="15.75" customHeight="1">
      <c r="A298" s="523"/>
      <c r="B298" s="523"/>
      <c r="C298" s="523"/>
      <c r="D298" s="523"/>
      <c r="E298" s="523"/>
      <c r="F298" s="523"/>
      <c r="G298" s="523"/>
      <c r="H298" s="524"/>
      <c r="I298" s="523"/>
      <c r="J298" s="523"/>
      <c r="K298" s="523"/>
      <c r="L298" s="523"/>
      <c r="M298" s="523"/>
      <c r="N298" s="523"/>
      <c r="O298" s="523"/>
      <c r="P298" s="523"/>
      <c r="Q298" s="523"/>
      <c r="R298" s="523"/>
      <c r="S298" s="523"/>
      <c r="T298" s="523"/>
      <c r="U298" s="523"/>
      <c r="V298" s="523"/>
      <c r="W298" s="523"/>
      <c r="X298" s="523"/>
      <c r="Y298" s="523"/>
      <c r="Z298" s="523"/>
    </row>
    <row r="299" spans="1:26" ht="15.75" customHeight="1">
      <c r="A299" s="523"/>
      <c r="B299" s="523"/>
      <c r="C299" s="523"/>
      <c r="D299" s="523"/>
      <c r="E299" s="523"/>
      <c r="F299" s="523"/>
      <c r="G299" s="523"/>
      <c r="H299" s="524"/>
      <c r="I299" s="523"/>
      <c r="J299" s="523"/>
      <c r="K299" s="523"/>
      <c r="L299" s="523"/>
      <c r="M299" s="523"/>
      <c r="N299" s="523"/>
      <c r="O299" s="523"/>
      <c r="P299" s="523"/>
      <c r="Q299" s="523"/>
      <c r="R299" s="523"/>
      <c r="S299" s="523"/>
      <c r="T299" s="523"/>
      <c r="U299" s="523"/>
      <c r="V299" s="523"/>
      <c r="W299" s="523"/>
      <c r="X299" s="523"/>
      <c r="Y299" s="523"/>
      <c r="Z299" s="523"/>
    </row>
    <row r="300" spans="1:26" ht="15.75" customHeight="1">
      <c r="A300" s="523"/>
      <c r="B300" s="523"/>
      <c r="C300" s="523"/>
      <c r="D300" s="523"/>
      <c r="E300" s="523"/>
      <c r="F300" s="523"/>
      <c r="G300" s="523"/>
      <c r="H300" s="524"/>
      <c r="I300" s="523"/>
      <c r="J300" s="523"/>
      <c r="K300" s="523"/>
      <c r="L300" s="523"/>
      <c r="M300" s="523"/>
      <c r="N300" s="523"/>
      <c r="O300" s="523"/>
      <c r="P300" s="523"/>
      <c r="Q300" s="523"/>
      <c r="R300" s="523"/>
      <c r="S300" s="523"/>
      <c r="T300" s="523"/>
      <c r="U300" s="523"/>
      <c r="V300" s="523"/>
      <c r="W300" s="523"/>
      <c r="X300" s="523"/>
      <c r="Y300" s="523"/>
      <c r="Z300" s="523"/>
    </row>
    <row r="301" spans="1:26" ht="15.75" customHeight="1">
      <c r="A301" s="523"/>
      <c r="B301" s="523"/>
      <c r="C301" s="523"/>
      <c r="D301" s="523"/>
      <c r="E301" s="523"/>
      <c r="F301" s="523"/>
      <c r="G301" s="523"/>
      <c r="H301" s="524"/>
      <c r="I301" s="523"/>
      <c r="J301" s="523"/>
      <c r="K301" s="523"/>
      <c r="L301" s="523"/>
      <c r="M301" s="523"/>
      <c r="N301" s="523"/>
      <c r="O301" s="523"/>
      <c r="P301" s="523"/>
      <c r="Q301" s="523"/>
      <c r="R301" s="523"/>
      <c r="S301" s="523"/>
      <c r="T301" s="523"/>
      <c r="U301" s="523"/>
      <c r="V301" s="523"/>
      <c r="W301" s="523"/>
      <c r="X301" s="523"/>
      <c r="Y301" s="523"/>
      <c r="Z301" s="523"/>
    </row>
    <row r="302" spans="1:26" ht="15.75" customHeight="1">
      <c r="A302" s="523"/>
      <c r="B302" s="523"/>
      <c r="C302" s="523"/>
      <c r="D302" s="523"/>
      <c r="E302" s="523"/>
      <c r="F302" s="523"/>
      <c r="G302" s="523"/>
      <c r="H302" s="524"/>
      <c r="I302" s="523"/>
      <c r="J302" s="523"/>
      <c r="K302" s="523"/>
      <c r="L302" s="523"/>
      <c r="M302" s="523"/>
      <c r="N302" s="523"/>
      <c r="O302" s="523"/>
      <c r="P302" s="523"/>
      <c r="Q302" s="523"/>
      <c r="R302" s="523"/>
      <c r="S302" s="523"/>
      <c r="T302" s="523"/>
      <c r="U302" s="523"/>
      <c r="V302" s="523"/>
      <c r="W302" s="523"/>
      <c r="X302" s="523"/>
      <c r="Y302" s="523"/>
      <c r="Z302" s="523"/>
    </row>
    <row r="303" spans="1:26" ht="15.75" customHeight="1">
      <c r="A303" s="523"/>
      <c r="B303" s="523"/>
      <c r="C303" s="523"/>
      <c r="D303" s="523"/>
      <c r="E303" s="523"/>
      <c r="F303" s="523"/>
      <c r="G303" s="523"/>
      <c r="H303" s="524"/>
      <c r="I303" s="523"/>
      <c r="J303" s="523"/>
      <c r="K303" s="523"/>
      <c r="L303" s="523"/>
      <c r="M303" s="523"/>
      <c r="N303" s="523"/>
      <c r="O303" s="523"/>
      <c r="P303" s="523"/>
      <c r="Q303" s="523"/>
      <c r="R303" s="523"/>
      <c r="S303" s="523"/>
      <c r="T303" s="523"/>
      <c r="U303" s="523"/>
      <c r="V303" s="523"/>
      <c r="W303" s="523"/>
      <c r="X303" s="523"/>
      <c r="Y303" s="523"/>
      <c r="Z303" s="523"/>
    </row>
    <row r="304" spans="1:26" ht="15.75" customHeight="1">
      <c r="A304" s="523"/>
      <c r="B304" s="523"/>
      <c r="C304" s="523"/>
      <c r="D304" s="523"/>
      <c r="E304" s="523"/>
      <c r="F304" s="523"/>
      <c r="G304" s="523"/>
      <c r="H304" s="524"/>
      <c r="I304" s="523"/>
      <c r="J304" s="523"/>
      <c r="K304" s="523"/>
      <c r="L304" s="523"/>
      <c r="M304" s="523"/>
      <c r="N304" s="523"/>
      <c r="O304" s="523"/>
      <c r="P304" s="523"/>
      <c r="Q304" s="523"/>
      <c r="R304" s="523"/>
      <c r="S304" s="523"/>
      <c r="T304" s="523"/>
      <c r="U304" s="523"/>
      <c r="V304" s="523"/>
      <c r="W304" s="523"/>
      <c r="X304" s="523"/>
      <c r="Y304" s="523"/>
      <c r="Z304" s="523"/>
    </row>
    <row r="305" spans="1:26" ht="15.75" customHeight="1">
      <c r="A305" s="523"/>
      <c r="B305" s="523"/>
      <c r="C305" s="523"/>
      <c r="D305" s="523"/>
      <c r="E305" s="523"/>
      <c r="F305" s="523"/>
      <c r="G305" s="523"/>
      <c r="H305" s="524"/>
      <c r="I305" s="523"/>
      <c r="J305" s="523"/>
      <c r="K305" s="523"/>
      <c r="L305" s="523"/>
      <c r="M305" s="523"/>
      <c r="N305" s="523"/>
      <c r="O305" s="523"/>
      <c r="P305" s="523"/>
      <c r="Q305" s="523"/>
      <c r="R305" s="523"/>
      <c r="S305" s="523"/>
      <c r="T305" s="523"/>
      <c r="U305" s="523"/>
      <c r="V305" s="523"/>
      <c r="W305" s="523"/>
      <c r="X305" s="523"/>
      <c r="Y305" s="523"/>
      <c r="Z305" s="523"/>
    </row>
    <row r="306" spans="1:26" ht="15.75" customHeight="1">
      <c r="A306" s="523"/>
      <c r="B306" s="523"/>
      <c r="C306" s="523"/>
      <c r="D306" s="523"/>
      <c r="E306" s="523"/>
      <c r="F306" s="523"/>
      <c r="G306" s="523"/>
      <c r="H306" s="524"/>
      <c r="I306" s="523"/>
      <c r="J306" s="523"/>
      <c r="K306" s="523"/>
      <c r="L306" s="523"/>
      <c r="M306" s="523"/>
      <c r="N306" s="523"/>
      <c r="O306" s="523"/>
      <c r="P306" s="523"/>
      <c r="Q306" s="523"/>
      <c r="R306" s="523"/>
      <c r="S306" s="523"/>
      <c r="T306" s="523"/>
      <c r="U306" s="523"/>
      <c r="V306" s="523"/>
      <c r="W306" s="523"/>
      <c r="X306" s="523"/>
      <c r="Y306" s="523"/>
      <c r="Z306" s="523"/>
    </row>
    <row r="307" spans="1:26" ht="15.75" customHeight="1">
      <c r="A307" s="523"/>
      <c r="B307" s="523"/>
      <c r="C307" s="523"/>
      <c r="D307" s="523"/>
      <c r="E307" s="523"/>
      <c r="F307" s="523"/>
      <c r="G307" s="523"/>
      <c r="H307" s="524"/>
      <c r="I307" s="523"/>
      <c r="J307" s="523"/>
      <c r="K307" s="523"/>
      <c r="L307" s="523"/>
      <c r="M307" s="523"/>
      <c r="N307" s="523"/>
      <c r="O307" s="523"/>
      <c r="P307" s="523"/>
      <c r="Q307" s="523"/>
      <c r="R307" s="523"/>
      <c r="S307" s="523"/>
      <c r="T307" s="523"/>
      <c r="U307" s="523"/>
      <c r="V307" s="523"/>
      <c r="W307" s="523"/>
      <c r="X307" s="523"/>
      <c r="Y307" s="523"/>
      <c r="Z307" s="523"/>
    </row>
    <row r="308" spans="1:26" ht="15.75" customHeight="1">
      <c r="A308" s="523"/>
      <c r="B308" s="523"/>
      <c r="C308" s="523"/>
      <c r="D308" s="523"/>
      <c r="E308" s="523"/>
      <c r="F308" s="523"/>
      <c r="G308" s="523"/>
      <c r="H308" s="524"/>
      <c r="I308" s="523"/>
      <c r="J308" s="523"/>
      <c r="K308" s="523"/>
      <c r="L308" s="523"/>
      <c r="M308" s="523"/>
      <c r="N308" s="523"/>
      <c r="O308" s="523"/>
      <c r="P308" s="523"/>
      <c r="Q308" s="523"/>
      <c r="R308" s="523"/>
      <c r="S308" s="523"/>
      <c r="T308" s="523"/>
      <c r="U308" s="523"/>
      <c r="V308" s="523"/>
      <c r="W308" s="523"/>
      <c r="X308" s="523"/>
      <c r="Y308" s="523"/>
      <c r="Z308" s="523"/>
    </row>
    <row r="309" spans="1:26" ht="15.75" customHeight="1">
      <c r="A309" s="523"/>
      <c r="B309" s="523"/>
      <c r="C309" s="523"/>
      <c r="D309" s="523"/>
      <c r="E309" s="523"/>
      <c r="F309" s="523"/>
      <c r="G309" s="523"/>
      <c r="H309" s="524"/>
      <c r="I309" s="523"/>
      <c r="J309" s="523"/>
      <c r="K309" s="523"/>
      <c r="L309" s="523"/>
      <c r="M309" s="523"/>
      <c r="N309" s="523"/>
      <c r="O309" s="523"/>
      <c r="P309" s="523"/>
      <c r="Q309" s="523"/>
      <c r="R309" s="523"/>
      <c r="S309" s="523"/>
      <c r="T309" s="523"/>
      <c r="U309" s="523"/>
      <c r="V309" s="523"/>
      <c r="W309" s="523"/>
      <c r="X309" s="523"/>
      <c r="Y309" s="523"/>
      <c r="Z309" s="523"/>
    </row>
    <row r="310" spans="1:26" ht="15.75" customHeight="1">
      <c r="A310" s="523"/>
      <c r="B310" s="523"/>
      <c r="C310" s="523"/>
      <c r="D310" s="523"/>
      <c r="E310" s="523"/>
      <c r="F310" s="523"/>
      <c r="G310" s="523"/>
      <c r="H310" s="524"/>
      <c r="I310" s="523"/>
      <c r="J310" s="523"/>
      <c r="K310" s="523"/>
      <c r="L310" s="523"/>
      <c r="M310" s="523"/>
      <c r="N310" s="523"/>
      <c r="O310" s="523"/>
      <c r="P310" s="523"/>
      <c r="Q310" s="523"/>
      <c r="R310" s="523"/>
      <c r="S310" s="523"/>
      <c r="T310" s="523"/>
      <c r="U310" s="523"/>
      <c r="V310" s="523"/>
      <c r="W310" s="523"/>
      <c r="X310" s="523"/>
      <c r="Y310" s="523"/>
      <c r="Z310" s="523"/>
    </row>
    <row r="311" spans="1:26" ht="15.75" customHeight="1">
      <c r="A311" s="523"/>
      <c r="B311" s="523"/>
      <c r="C311" s="523"/>
      <c r="D311" s="523"/>
      <c r="E311" s="523"/>
      <c r="F311" s="523"/>
      <c r="G311" s="523"/>
      <c r="H311" s="524"/>
      <c r="I311" s="523"/>
      <c r="J311" s="523"/>
      <c r="K311" s="523"/>
      <c r="L311" s="523"/>
      <c r="M311" s="523"/>
      <c r="N311" s="523"/>
      <c r="O311" s="523"/>
      <c r="P311" s="523"/>
      <c r="Q311" s="523"/>
      <c r="R311" s="523"/>
      <c r="S311" s="523"/>
      <c r="T311" s="523"/>
      <c r="U311" s="523"/>
      <c r="V311" s="523"/>
      <c r="W311" s="523"/>
      <c r="X311" s="523"/>
      <c r="Y311" s="523"/>
      <c r="Z311" s="523"/>
    </row>
    <row r="312" spans="1:26" ht="15.75" customHeight="1">
      <c r="A312" s="523"/>
      <c r="B312" s="523"/>
      <c r="C312" s="523"/>
      <c r="D312" s="523"/>
      <c r="E312" s="523"/>
      <c r="F312" s="523"/>
      <c r="G312" s="523"/>
      <c r="H312" s="524"/>
      <c r="I312" s="523"/>
      <c r="J312" s="523"/>
      <c r="K312" s="523"/>
      <c r="L312" s="523"/>
      <c r="M312" s="523"/>
      <c r="N312" s="523"/>
      <c r="O312" s="523"/>
      <c r="P312" s="523"/>
      <c r="Q312" s="523"/>
      <c r="R312" s="523"/>
      <c r="S312" s="523"/>
      <c r="T312" s="523"/>
      <c r="U312" s="523"/>
      <c r="V312" s="523"/>
      <c r="W312" s="523"/>
      <c r="X312" s="523"/>
      <c r="Y312" s="523"/>
      <c r="Z312" s="523"/>
    </row>
    <row r="313" spans="1:26" ht="15.75" customHeight="1">
      <c r="A313" s="523"/>
      <c r="B313" s="523"/>
      <c r="C313" s="523"/>
      <c r="D313" s="523"/>
      <c r="E313" s="523"/>
      <c r="F313" s="523"/>
      <c r="G313" s="523"/>
      <c r="H313" s="524"/>
      <c r="I313" s="523"/>
      <c r="J313" s="523"/>
      <c r="K313" s="523"/>
      <c r="L313" s="523"/>
      <c r="M313" s="523"/>
      <c r="N313" s="523"/>
      <c r="O313" s="523"/>
      <c r="P313" s="523"/>
      <c r="Q313" s="523"/>
      <c r="R313" s="523"/>
      <c r="S313" s="523"/>
      <c r="T313" s="523"/>
      <c r="U313" s="523"/>
      <c r="V313" s="523"/>
      <c r="W313" s="523"/>
      <c r="X313" s="523"/>
      <c r="Y313" s="523"/>
      <c r="Z313" s="523"/>
    </row>
    <row r="314" spans="1:26" ht="15.75" customHeight="1">
      <c r="A314" s="523"/>
      <c r="B314" s="523"/>
      <c r="C314" s="523"/>
      <c r="D314" s="523"/>
      <c r="E314" s="523"/>
      <c r="F314" s="523"/>
      <c r="G314" s="523"/>
      <c r="H314" s="524"/>
      <c r="I314" s="523"/>
      <c r="J314" s="523"/>
      <c r="K314" s="523"/>
      <c r="L314" s="523"/>
      <c r="M314" s="523"/>
      <c r="N314" s="523"/>
      <c r="O314" s="523"/>
      <c r="P314" s="523"/>
      <c r="Q314" s="523"/>
      <c r="R314" s="523"/>
      <c r="S314" s="523"/>
      <c r="T314" s="523"/>
      <c r="U314" s="523"/>
      <c r="V314" s="523"/>
      <c r="W314" s="523"/>
      <c r="X314" s="523"/>
      <c r="Y314" s="523"/>
      <c r="Z314" s="523"/>
    </row>
    <row r="315" spans="1:26" ht="15.75" customHeight="1">
      <c r="A315" s="523"/>
      <c r="B315" s="523"/>
      <c r="C315" s="523"/>
      <c r="D315" s="523"/>
      <c r="E315" s="523"/>
      <c r="F315" s="523"/>
      <c r="G315" s="523"/>
      <c r="H315" s="524"/>
      <c r="I315" s="523"/>
      <c r="J315" s="523"/>
      <c r="K315" s="523"/>
      <c r="L315" s="523"/>
      <c r="M315" s="523"/>
      <c r="N315" s="523"/>
      <c r="O315" s="523"/>
      <c r="P315" s="523"/>
      <c r="Q315" s="523"/>
      <c r="R315" s="523"/>
      <c r="S315" s="523"/>
      <c r="T315" s="523"/>
      <c r="U315" s="523"/>
      <c r="V315" s="523"/>
      <c r="W315" s="523"/>
      <c r="X315" s="523"/>
      <c r="Y315" s="523"/>
      <c r="Z315" s="523"/>
    </row>
    <row r="316" spans="1:26" ht="15.75" customHeight="1">
      <c r="A316" s="523"/>
      <c r="B316" s="523"/>
      <c r="C316" s="523"/>
      <c r="D316" s="523"/>
      <c r="E316" s="523"/>
      <c r="F316" s="523"/>
      <c r="G316" s="523"/>
      <c r="H316" s="524"/>
      <c r="I316" s="523"/>
      <c r="J316" s="523"/>
      <c r="K316" s="523"/>
      <c r="L316" s="523"/>
      <c r="M316" s="523"/>
      <c r="N316" s="523"/>
      <c r="O316" s="523"/>
      <c r="P316" s="523"/>
      <c r="Q316" s="523"/>
      <c r="R316" s="523"/>
      <c r="S316" s="523"/>
      <c r="T316" s="523"/>
      <c r="U316" s="523"/>
      <c r="V316" s="523"/>
      <c r="W316" s="523"/>
      <c r="X316" s="523"/>
      <c r="Y316" s="523"/>
      <c r="Z316" s="523"/>
    </row>
    <row r="317" spans="1:26" ht="15.75" customHeight="1">
      <c r="A317" s="523"/>
      <c r="B317" s="523"/>
      <c r="C317" s="523"/>
      <c r="D317" s="523"/>
      <c r="E317" s="523"/>
      <c r="F317" s="523"/>
      <c r="G317" s="523"/>
      <c r="H317" s="524"/>
      <c r="I317" s="523"/>
      <c r="J317" s="523"/>
      <c r="K317" s="523"/>
      <c r="L317" s="523"/>
      <c r="M317" s="523"/>
      <c r="N317" s="523"/>
      <c r="O317" s="523"/>
      <c r="P317" s="523"/>
      <c r="Q317" s="523"/>
      <c r="R317" s="523"/>
      <c r="S317" s="523"/>
      <c r="T317" s="523"/>
      <c r="U317" s="523"/>
      <c r="V317" s="523"/>
      <c r="W317" s="523"/>
      <c r="X317" s="523"/>
      <c r="Y317" s="523"/>
      <c r="Z317" s="523"/>
    </row>
    <row r="318" spans="1:26" ht="15.75" customHeight="1">
      <c r="A318" s="523"/>
      <c r="B318" s="523"/>
      <c r="C318" s="523"/>
      <c r="D318" s="523"/>
      <c r="E318" s="523"/>
      <c r="F318" s="523"/>
      <c r="G318" s="523"/>
      <c r="H318" s="524"/>
      <c r="I318" s="523"/>
      <c r="J318" s="523"/>
      <c r="K318" s="523"/>
      <c r="L318" s="523"/>
      <c r="M318" s="523"/>
      <c r="N318" s="523"/>
      <c r="O318" s="523"/>
      <c r="P318" s="523"/>
      <c r="Q318" s="523"/>
      <c r="R318" s="523"/>
      <c r="S318" s="523"/>
      <c r="T318" s="523"/>
      <c r="U318" s="523"/>
      <c r="V318" s="523"/>
      <c r="W318" s="523"/>
      <c r="X318" s="523"/>
      <c r="Y318" s="523"/>
      <c r="Z318" s="523"/>
    </row>
    <row r="319" spans="1:26" ht="15.75" customHeight="1">
      <c r="A319" s="523"/>
      <c r="B319" s="523"/>
      <c r="C319" s="523"/>
      <c r="D319" s="523"/>
      <c r="E319" s="523"/>
      <c r="F319" s="523"/>
      <c r="G319" s="523"/>
      <c r="H319" s="524"/>
      <c r="I319" s="523"/>
      <c r="J319" s="523"/>
      <c r="K319" s="523"/>
      <c r="L319" s="523"/>
      <c r="M319" s="523"/>
      <c r="N319" s="523"/>
      <c r="O319" s="523"/>
      <c r="P319" s="523"/>
      <c r="Q319" s="523"/>
      <c r="R319" s="523"/>
      <c r="S319" s="523"/>
      <c r="T319" s="523"/>
      <c r="U319" s="523"/>
      <c r="V319" s="523"/>
      <c r="W319" s="523"/>
      <c r="X319" s="523"/>
      <c r="Y319" s="523"/>
      <c r="Z319" s="523"/>
    </row>
    <row r="320" spans="1:26" ht="15.75" customHeight="1">
      <c r="A320" s="523"/>
      <c r="B320" s="523"/>
      <c r="C320" s="523"/>
      <c r="D320" s="523"/>
      <c r="E320" s="523"/>
      <c r="F320" s="523"/>
      <c r="G320" s="523"/>
      <c r="H320" s="524"/>
      <c r="I320" s="523"/>
      <c r="J320" s="523"/>
      <c r="K320" s="523"/>
      <c r="L320" s="523"/>
      <c r="M320" s="523"/>
      <c r="N320" s="523"/>
      <c r="O320" s="523"/>
      <c r="P320" s="523"/>
      <c r="Q320" s="523"/>
      <c r="R320" s="523"/>
      <c r="S320" s="523"/>
      <c r="T320" s="523"/>
      <c r="U320" s="523"/>
      <c r="V320" s="523"/>
      <c r="W320" s="523"/>
      <c r="X320" s="523"/>
      <c r="Y320" s="523"/>
      <c r="Z320" s="523"/>
    </row>
    <row r="321" spans="1:26" ht="15.75" customHeight="1">
      <c r="A321" s="523"/>
      <c r="B321" s="523"/>
      <c r="C321" s="523"/>
      <c r="D321" s="523"/>
      <c r="E321" s="523"/>
      <c r="F321" s="523"/>
      <c r="G321" s="523"/>
      <c r="H321" s="524"/>
      <c r="I321" s="523"/>
      <c r="J321" s="523"/>
      <c r="K321" s="523"/>
      <c r="L321" s="523"/>
      <c r="M321" s="523"/>
      <c r="N321" s="523"/>
      <c r="O321" s="523"/>
      <c r="P321" s="523"/>
      <c r="Q321" s="523"/>
      <c r="R321" s="523"/>
      <c r="S321" s="523"/>
      <c r="T321" s="523"/>
      <c r="U321" s="523"/>
      <c r="V321" s="523"/>
      <c r="W321" s="523"/>
      <c r="X321" s="523"/>
      <c r="Y321" s="523"/>
      <c r="Z321" s="523"/>
    </row>
    <row r="322" spans="1:26" ht="15.75" customHeight="1">
      <c r="A322" s="523"/>
      <c r="B322" s="523"/>
      <c r="C322" s="523"/>
      <c r="D322" s="523"/>
      <c r="E322" s="523"/>
      <c r="F322" s="523"/>
      <c r="G322" s="523"/>
      <c r="H322" s="524"/>
      <c r="I322" s="523"/>
      <c r="J322" s="523"/>
      <c r="K322" s="523"/>
      <c r="L322" s="523"/>
      <c r="M322" s="523"/>
      <c r="N322" s="523"/>
      <c r="O322" s="523"/>
      <c r="P322" s="523"/>
      <c r="Q322" s="523"/>
      <c r="R322" s="523"/>
      <c r="S322" s="523"/>
      <c r="T322" s="523"/>
      <c r="U322" s="523"/>
      <c r="V322" s="523"/>
      <c r="W322" s="523"/>
      <c r="X322" s="523"/>
      <c r="Y322" s="523"/>
      <c r="Z322" s="523"/>
    </row>
    <row r="323" spans="1:26" ht="15.75" customHeight="1">
      <c r="A323" s="523"/>
      <c r="B323" s="523"/>
      <c r="C323" s="523"/>
      <c r="D323" s="523"/>
      <c r="E323" s="523"/>
      <c r="F323" s="523"/>
      <c r="G323" s="523"/>
      <c r="H323" s="524"/>
      <c r="I323" s="523"/>
      <c r="J323" s="523"/>
      <c r="K323" s="523"/>
      <c r="L323" s="523"/>
      <c r="M323" s="523"/>
      <c r="N323" s="523"/>
      <c r="O323" s="523"/>
      <c r="P323" s="523"/>
      <c r="Q323" s="523"/>
      <c r="R323" s="523"/>
      <c r="S323" s="523"/>
      <c r="T323" s="523"/>
      <c r="U323" s="523"/>
      <c r="V323" s="523"/>
      <c r="W323" s="523"/>
      <c r="X323" s="523"/>
      <c r="Y323" s="523"/>
      <c r="Z323" s="523"/>
    </row>
    <row r="324" spans="1:26" ht="15.75" customHeight="1">
      <c r="A324" s="523"/>
      <c r="B324" s="523"/>
      <c r="C324" s="523"/>
      <c r="D324" s="523"/>
      <c r="E324" s="523"/>
      <c r="F324" s="523"/>
      <c r="G324" s="523"/>
      <c r="H324" s="524"/>
      <c r="I324" s="523"/>
      <c r="J324" s="523"/>
      <c r="K324" s="523"/>
      <c r="L324" s="523"/>
      <c r="M324" s="523"/>
      <c r="N324" s="523"/>
      <c r="O324" s="523"/>
      <c r="P324" s="523"/>
      <c r="Q324" s="523"/>
      <c r="R324" s="523"/>
      <c r="S324" s="523"/>
      <c r="T324" s="523"/>
      <c r="U324" s="523"/>
      <c r="V324" s="523"/>
      <c r="W324" s="523"/>
      <c r="X324" s="523"/>
      <c r="Y324" s="523"/>
      <c r="Z324" s="523"/>
    </row>
    <row r="325" spans="1:26" ht="15.75" customHeight="1">
      <c r="A325" s="523"/>
      <c r="B325" s="523"/>
      <c r="C325" s="523"/>
      <c r="D325" s="523"/>
      <c r="E325" s="523"/>
      <c r="F325" s="523"/>
      <c r="G325" s="523"/>
      <c r="H325" s="524"/>
      <c r="I325" s="523"/>
      <c r="J325" s="523"/>
      <c r="K325" s="523"/>
      <c r="L325" s="523"/>
      <c r="M325" s="523"/>
      <c r="N325" s="523"/>
      <c r="O325" s="523"/>
      <c r="P325" s="523"/>
      <c r="Q325" s="523"/>
      <c r="R325" s="523"/>
      <c r="S325" s="523"/>
      <c r="T325" s="523"/>
      <c r="U325" s="523"/>
      <c r="V325" s="523"/>
      <c r="W325" s="523"/>
      <c r="X325" s="523"/>
      <c r="Y325" s="523"/>
      <c r="Z325" s="523"/>
    </row>
    <row r="326" spans="1:26" ht="15.75" customHeight="1">
      <c r="A326" s="523"/>
      <c r="B326" s="523"/>
      <c r="C326" s="523"/>
      <c r="D326" s="523"/>
      <c r="E326" s="523"/>
      <c r="F326" s="523"/>
      <c r="G326" s="523"/>
      <c r="H326" s="524"/>
      <c r="I326" s="523"/>
      <c r="J326" s="523"/>
      <c r="K326" s="523"/>
      <c r="L326" s="523"/>
      <c r="M326" s="523"/>
      <c r="N326" s="523"/>
      <c r="O326" s="523"/>
      <c r="P326" s="523"/>
      <c r="Q326" s="523"/>
      <c r="R326" s="523"/>
      <c r="S326" s="523"/>
      <c r="T326" s="523"/>
      <c r="U326" s="523"/>
      <c r="V326" s="523"/>
      <c r="W326" s="523"/>
      <c r="X326" s="523"/>
      <c r="Y326" s="523"/>
      <c r="Z326" s="523"/>
    </row>
    <row r="327" spans="1:26" ht="15.75" customHeight="1">
      <c r="A327" s="523"/>
      <c r="B327" s="523"/>
      <c r="C327" s="523"/>
      <c r="D327" s="523"/>
      <c r="E327" s="523"/>
      <c r="F327" s="523"/>
      <c r="G327" s="523"/>
      <c r="H327" s="524"/>
      <c r="I327" s="523"/>
      <c r="J327" s="523"/>
      <c r="K327" s="523"/>
      <c r="L327" s="523"/>
      <c r="M327" s="523"/>
      <c r="N327" s="523"/>
      <c r="O327" s="523"/>
      <c r="P327" s="523"/>
      <c r="Q327" s="523"/>
      <c r="R327" s="523"/>
      <c r="S327" s="523"/>
      <c r="T327" s="523"/>
      <c r="U327" s="523"/>
      <c r="V327" s="523"/>
      <c r="W327" s="523"/>
      <c r="X327" s="523"/>
      <c r="Y327" s="523"/>
      <c r="Z327" s="523"/>
    </row>
    <row r="328" spans="1:26" ht="15.75" customHeight="1">
      <c r="A328" s="523"/>
      <c r="B328" s="523"/>
      <c r="C328" s="523"/>
      <c r="D328" s="523"/>
      <c r="E328" s="523"/>
      <c r="F328" s="523"/>
      <c r="G328" s="523"/>
      <c r="H328" s="524"/>
      <c r="I328" s="523"/>
      <c r="J328" s="523"/>
      <c r="K328" s="523"/>
      <c r="L328" s="523"/>
      <c r="M328" s="523"/>
      <c r="N328" s="523"/>
      <c r="O328" s="523"/>
      <c r="P328" s="523"/>
      <c r="Q328" s="523"/>
      <c r="R328" s="523"/>
      <c r="S328" s="523"/>
      <c r="T328" s="523"/>
      <c r="U328" s="523"/>
      <c r="V328" s="523"/>
      <c r="W328" s="523"/>
      <c r="X328" s="523"/>
      <c r="Y328" s="523"/>
      <c r="Z328" s="523"/>
    </row>
    <row r="329" spans="1:26" ht="15.75" customHeight="1">
      <c r="A329" s="523"/>
      <c r="B329" s="523"/>
      <c r="C329" s="523"/>
      <c r="D329" s="523"/>
      <c r="E329" s="523"/>
      <c r="F329" s="523"/>
      <c r="G329" s="523"/>
      <c r="H329" s="524"/>
      <c r="I329" s="523"/>
      <c r="J329" s="523"/>
      <c r="K329" s="523"/>
      <c r="L329" s="523"/>
      <c r="M329" s="523"/>
      <c r="N329" s="523"/>
      <c r="O329" s="523"/>
      <c r="P329" s="523"/>
      <c r="Q329" s="523"/>
      <c r="R329" s="523"/>
      <c r="S329" s="523"/>
      <c r="T329" s="523"/>
      <c r="U329" s="523"/>
      <c r="V329" s="523"/>
      <c r="W329" s="523"/>
      <c r="X329" s="523"/>
      <c r="Y329" s="523"/>
      <c r="Z329" s="523"/>
    </row>
    <row r="330" spans="1:26" ht="15.75" customHeight="1">
      <c r="A330" s="523"/>
      <c r="B330" s="523"/>
      <c r="C330" s="523"/>
      <c r="D330" s="523"/>
      <c r="E330" s="523"/>
      <c r="F330" s="523"/>
      <c r="G330" s="523"/>
      <c r="H330" s="524"/>
      <c r="I330" s="523"/>
      <c r="J330" s="523"/>
      <c r="K330" s="523"/>
      <c r="L330" s="523"/>
      <c r="M330" s="523"/>
      <c r="N330" s="523"/>
      <c r="O330" s="523"/>
      <c r="P330" s="523"/>
      <c r="Q330" s="523"/>
      <c r="R330" s="523"/>
      <c r="S330" s="523"/>
      <c r="T330" s="523"/>
      <c r="U330" s="523"/>
      <c r="V330" s="523"/>
      <c r="W330" s="523"/>
      <c r="X330" s="523"/>
      <c r="Y330" s="523"/>
      <c r="Z330" s="523"/>
    </row>
    <row r="331" spans="1:26" ht="15.75" customHeight="1">
      <c r="A331" s="523"/>
      <c r="B331" s="523"/>
      <c r="C331" s="523"/>
      <c r="D331" s="523"/>
      <c r="E331" s="523"/>
      <c r="F331" s="523"/>
      <c r="G331" s="523"/>
      <c r="H331" s="524"/>
      <c r="I331" s="523"/>
      <c r="J331" s="523"/>
      <c r="K331" s="523"/>
      <c r="L331" s="523"/>
      <c r="M331" s="523"/>
      <c r="N331" s="523"/>
      <c r="O331" s="523"/>
      <c r="P331" s="523"/>
      <c r="Q331" s="523"/>
      <c r="R331" s="523"/>
      <c r="S331" s="523"/>
      <c r="T331" s="523"/>
      <c r="U331" s="523"/>
      <c r="V331" s="523"/>
      <c r="W331" s="523"/>
      <c r="X331" s="523"/>
      <c r="Y331" s="523"/>
      <c r="Z331" s="523"/>
    </row>
    <row r="332" spans="1:26" ht="15.75" customHeight="1">
      <c r="A332" s="523"/>
      <c r="B332" s="523"/>
      <c r="C332" s="523"/>
      <c r="D332" s="523"/>
      <c r="E332" s="523"/>
      <c r="F332" s="523"/>
      <c r="G332" s="523"/>
      <c r="H332" s="524"/>
      <c r="I332" s="523"/>
      <c r="J332" s="523"/>
      <c r="K332" s="523"/>
      <c r="L332" s="523"/>
      <c r="M332" s="523"/>
      <c r="N332" s="523"/>
      <c r="O332" s="523"/>
      <c r="P332" s="523"/>
      <c r="Q332" s="523"/>
      <c r="R332" s="523"/>
      <c r="S332" s="523"/>
      <c r="T332" s="523"/>
      <c r="U332" s="523"/>
      <c r="V332" s="523"/>
      <c r="W332" s="523"/>
      <c r="X332" s="523"/>
      <c r="Y332" s="523"/>
      <c r="Z332" s="523"/>
    </row>
    <row r="333" spans="1:26" ht="15.75" customHeight="1">
      <c r="A333" s="523"/>
      <c r="B333" s="523"/>
      <c r="C333" s="523"/>
      <c r="D333" s="523"/>
      <c r="E333" s="523"/>
      <c r="F333" s="523"/>
      <c r="G333" s="523"/>
      <c r="H333" s="524"/>
      <c r="I333" s="523"/>
      <c r="J333" s="523"/>
      <c r="K333" s="523"/>
      <c r="L333" s="523"/>
      <c r="M333" s="523"/>
      <c r="N333" s="523"/>
      <c r="O333" s="523"/>
      <c r="P333" s="523"/>
      <c r="Q333" s="523"/>
      <c r="R333" s="523"/>
      <c r="S333" s="523"/>
      <c r="T333" s="523"/>
      <c r="U333" s="523"/>
      <c r="V333" s="523"/>
      <c r="W333" s="523"/>
      <c r="X333" s="523"/>
      <c r="Y333" s="523"/>
      <c r="Z333" s="523"/>
    </row>
    <row r="334" spans="1:26" ht="15.75" customHeight="1">
      <c r="A334" s="523"/>
      <c r="B334" s="523"/>
      <c r="C334" s="523"/>
      <c r="D334" s="523"/>
      <c r="E334" s="523"/>
      <c r="F334" s="523"/>
      <c r="G334" s="523"/>
      <c r="H334" s="524"/>
      <c r="I334" s="523"/>
      <c r="J334" s="523"/>
      <c r="K334" s="523"/>
      <c r="L334" s="523"/>
      <c r="M334" s="523"/>
      <c r="N334" s="523"/>
      <c r="O334" s="523"/>
      <c r="P334" s="523"/>
      <c r="Q334" s="523"/>
      <c r="R334" s="523"/>
      <c r="S334" s="523"/>
      <c r="T334" s="523"/>
      <c r="U334" s="523"/>
      <c r="V334" s="523"/>
      <c r="W334" s="523"/>
      <c r="X334" s="523"/>
      <c r="Y334" s="523"/>
      <c r="Z334" s="523"/>
    </row>
    <row r="335" spans="1:26" ht="15.75" customHeight="1">
      <c r="A335" s="523"/>
      <c r="B335" s="523"/>
      <c r="C335" s="523"/>
      <c r="D335" s="523"/>
      <c r="E335" s="523"/>
      <c r="F335" s="523"/>
      <c r="G335" s="523"/>
      <c r="H335" s="524"/>
      <c r="I335" s="523"/>
      <c r="J335" s="523"/>
      <c r="K335" s="523"/>
      <c r="L335" s="523"/>
      <c r="M335" s="523"/>
      <c r="N335" s="523"/>
      <c r="O335" s="523"/>
      <c r="P335" s="523"/>
      <c r="Q335" s="523"/>
      <c r="R335" s="523"/>
      <c r="S335" s="523"/>
      <c r="T335" s="523"/>
      <c r="U335" s="523"/>
      <c r="V335" s="523"/>
      <c r="W335" s="523"/>
      <c r="X335" s="523"/>
      <c r="Y335" s="523"/>
      <c r="Z335" s="523"/>
    </row>
    <row r="336" spans="1:26" ht="15.75" customHeight="1">
      <c r="A336" s="523"/>
      <c r="B336" s="523"/>
      <c r="C336" s="523"/>
      <c r="D336" s="523"/>
      <c r="E336" s="523"/>
      <c r="F336" s="523"/>
      <c r="G336" s="523"/>
      <c r="H336" s="524"/>
      <c r="I336" s="523"/>
      <c r="J336" s="523"/>
      <c r="K336" s="523"/>
      <c r="L336" s="523"/>
      <c r="M336" s="523"/>
      <c r="N336" s="523"/>
      <c r="O336" s="523"/>
      <c r="P336" s="523"/>
      <c r="Q336" s="523"/>
      <c r="R336" s="523"/>
      <c r="S336" s="523"/>
      <c r="T336" s="523"/>
      <c r="U336" s="523"/>
      <c r="V336" s="523"/>
      <c r="W336" s="523"/>
      <c r="X336" s="523"/>
      <c r="Y336" s="523"/>
      <c r="Z336" s="523"/>
    </row>
    <row r="337" spans="1:26" ht="15.75" customHeight="1">
      <c r="A337" s="523"/>
      <c r="B337" s="523"/>
      <c r="C337" s="523"/>
      <c r="D337" s="523"/>
      <c r="E337" s="523"/>
      <c r="F337" s="523"/>
      <c r="G337" s="523"/>
      <c r="H337" s="524"/>
      <c r="I337" s="523"/>
      <c r="J337" s="523"/>
      <c r="K337" s="523"/>
      <c r="L337" s="523"/>
      <c r="M337" s="523"/>
      <c r="N337" s="523"/>
      <c r="O337" s="523"/>
      <c r="P337" s="523"/>
      <c r="Q337" s="523"/>
      <c r="R337" s="523"/>
      <c r="S337" s="523"/>
      <c r="T337" s="523"/>
      <c r="U337" s="523"/>
      <c r="V337" s="523"/>
      <c r="W337" s="523"/>
      <c r="X337" s="523"/>
      <c r="Y337" s="523"/>
      <c r="Z337" s="523"/>
    </row>
    <row r="338" spans="1:26" ht="15.75" customHeight="1">
      <c r="A338" s="523"/>
      <c r="B338" s="523"/>
      <c r="C338" s="523"/>
      <c r="D338" s="523"/>
      <c r="E338" s="523"/>
      <c r="F338" s="523"/>
      <c r="G338" s="523"/>
      <c r="H338" s="524"/>
      <c r="I338" s="523"/>
      <c r="J338" s="523"/>
      <c r="K338" s="523"/>
      <c r="L338" s="523"/>
      <c r="M338" s="523"/>
      <c r="N338" s="523"/>
      <c r="O338" s="523"/>
      <c r="P338" s="523"/>
      <c r="Q338" s="523"/>
      <c r="R338" s="523"/>
      <c r="S338" s="523"/>
      <c r="T338" s="523"/>
      <c r="U338" s="523"/>
      <c r="V338" s="523"/>
      <c r="W338" s="523"/>
      <c r="X338" s="523"/>
      <c r="Y338" s="523"/>
      <c r="Z338" s="523"/>
    </row>
    <row r="339" spans="1:26" ht="15.75" customHeight="1">
      <c r="A339" s="523"/>
      <c r="B339" s="523"/>
      <c r="C339" s="523"/>
      <c r="D339" s="523"/>
      <c r="E339" s="523"/>
      <c r="F339" s="523"/>
      <c r="G339" s="523"/>
      <c r="H339" s="524"/>
      <c r="I339" s="523"/>
      <c r="J339" s="523"/>
      <c r="K339" s="523"/>
      <c r="L339" s="523"/>
      <c r="M339" s="523"/>
      <c r="N339" s="523"/>
      <c r="O339" s="523"/>
      <c r="P339" s="523"/>
      <c r="Q339" s="523"/>
      <c r="R339" s="523"/>
      <c r="S339" s="523"/>
      <c r="T339" s="523"/>
      <c r="U339" s="523"/>
      <c r="V339" s="523"/>
      <c r="W339" s="523"/>
      <c r="X339" s="523"/>
      <c r="Y339" s="523"/>
      <c r="Z339" s="523"/>
    </row>
    <row r="340" spans="1:26" ht="15.75" customHeight="1">
      <c r="A340" s="523"/>
      <c r="B340" s="523"/>
      <c r="C340" s="523"/>
      <c r="D340" s="523"/>
      <c r="E340" s="523"/>
      <c r="F340" s="523"/>
      <c r="G340" s="523"/>
      <c r="H340" s="524"/>
      <c r="I340" s="523"/>
      <c r="J340" s="523"/>
      <c r="K340" s="523"/>
      <c r="L340" s="523"/>
      <c r="M340" s="523"/>
      <c r="N340" s="523"/>
      <c r="O340" s="523"/>
      <c r="P340" s="523"/>
      <c r="Q340" s="523"/>
      <c r="R340" s="523"/>
      <c r="S340" s="523"/>
      <c r="T340" s="523"/>
      <c r="U340" s="523"/>
      <c r="V340" s="523"/>
      <c r="W340" s="523"/>
      <c r="X340" s="523"/>
      <c r="Y340" s="523"/>
      <c r="Z340" s="523"/>
    </row>
    <row r="341" spans="1:26" ht="15.75" customHeight="1">
      <c r="A341" s="523"/>
      <c r="B341" s="523"/>
      <c r="C341" s="523"/>
      <c r="D341" s="523"/>
      <c r="E341" s="523"/>
      <c r="F341" s="523"/>
      <c r="G341" s="523"/>
      <c r="H341" s="524"/>
      <c r="I341" s="523"/>
      <c r="J341" s="523"/>
      <c r="K341" s="523"/>
      <c r="L341" s="523"/>
      <c r="M341" s="523"/>
      <c r="N341" s="523"/>
      <c r="O341" s="523"/>
      <c r="P341" s="523"/>
      <c r="Q341" s="523"/>
      <c r="R341" s="523"/>
      <c r="S341" s="523"/>
      <c r="T341" s="523"/>
      <c r="U341" s="523"/>
      <c r="V341" s="523"/>
      <c r="W341" s="523"/>
      <c r="X341" s="523"/>
      <c r="Y341" s="523"/>
      <c r="Z341" s="523"/>
    </row>
    <row r="342" spans="1:26" ht="15.75" customHeight="1">
      <c r="A342" s="523"/>
      <c r="B342" s="523"/>
      <c r="C342" s="523"/>
      <c r="D342" s="523"/>
      <c r="E342" s="523"/>
      <c r="F342" s="523"/>
      <c r="G342" s="523"/>
      <c r="H342" s="524"/>
      <c r="I342" s="523"/>
      <c r="J342" s="523"/>
      <c r="K342" s="523"/>
      <c r="L342" s="523"/>
      <c r="M342" s="523"/>
      <c r="N342" s="523"/>
      <c r="O342" s="523"/>
      <c r="P342" s="523"/>
      <c r="Q342" s="523"/>
      <c r="R342" s="523"/>
      <c r="S342" s="523"/>
      <c r="T342" s="523"/>
      <c r="U342" s="523"/>
      <c r="V342" s="523"/>
      <c r="W342" s="523"/>
      <c r="X342" s="523"/>
      <c r="Y342" s="523"/>
      <c r="Z342" s="523"/>
    </row>
    <row r="343" spans="1:26" ht="15.75" customHeight="1">
      <c r="A343" s="523"/>
      <c r="B343" s="523"/>
      <c r="C343" s="523"/>
      <c r="D343" s="523"/>
      <c r="E343" s="523"/>
      <c r="F343" s="523"/>
      <c r="G343" s="523"/>
      <c r="H343" s="524"/>
      <c r="I343" s="523"/>
      <c r="J343" s="523"/>
      <c r="K343" s="523"/>
      <c r="L343" s="523"/>
      <c r="M343" s="523"/>
      <c r="N343" s="523"/>
      <c r="O343" s="523"/>
      <c r="P343" s="523"/>
      <c r="Q343" s="523"/>
      <c r="R343" s="523"/>
      <c r="S343" s="523"/>
      <c r="T343" s="523"/>
      <c r="U343" s="523"/>
      <c r="V343" s="523"/>
      <c r="W343" s="523"/>
      <c r="X343" s="523"/>
      <c r="Y343" s="523"/>
      <c r="Z343" s="523"/>
    </row>
    <row r="344" spans="1:26" ht="15.75" customHeight="1">
      <c r="A344" s="523"/>
      <c r="B344" s="523"/>
      <c r="C344" s="523"/>
      <c r="D344" s="523"/>
      <c r="E344" s="523"/>
      <c r="F344" s="523"/>
      <c r="G344" s="523"/>
      <c r="H344" s="524"/>
      <c r="I344" s="523"/>
      <c r="J344" s="523"/>
      <c r="K344" s="523"/>
      <c r="L344" s="523"/>
      <c r="M344" s="523"/>
      <c r="N344" s="523"/>
      <c r="O344" s="523"/>
      <c r="P344" s="523"/>
      <c r="Q344" s="523"/>
      <c r="R344" s="523"/>
      <c r="S344" s="523"/>
      <c r="T344" s="523"/>
      <c r="U344" s="523"/>
      <c r="V344" s="523"/>
      <c r="W344" s="523"/>
      <c r="X344" s="523"/>
      <c r="Y344" s="523"/>
      <c r="Z344" s="523"/>
    </row>
    <row r="345" spans="1:26" ht="15.75" customHeight="1">
      <c r="A345" s="523"/>
      <c r="B345" s="523"/>
      <c r="C345" s="523"/>
      <c r="D345" s="523"/>
      <c r="E345" s="523"/>
      <c r="F345" s="523"/>
      <c r="G345" s="523"/>
      <c r="H345" s="524"/>
      <c r="I345" s="523"/>
      <c r="J345" s="523"/>
      <c r="K345" s="523"/>
      <c r="L345" s="523"/>
      <c r="M345" s="523"/>
      <c r="N345" s="523"/>
      <c r="O345" s="523"/>
      <c r="P345" s="523"/>
      <c r="Q345" s="523"/>
      <c r="R345" s="523"/>
      <c r="S345" s="523"/>
      <c r="T345" s="523"/>
      <c r="U345" s="523"/>
      <c r="V345" s="523"/>
      <c r="W345" s="523"/>
      <c r="X345" s="523"/>
      <c r="Y345" s="523"/>
      <c r="Z345" s="523"/>
    </row>
    <row r="346" spans="1:26" ht="15.75" customHeight="1">
      <c r="A346" s="523"/>
      <c r="B346" s="523"/>
      <c r="C346" s="523"/>
      <c r="D346" s="523"/>
      <c r="E346" s="523"/>
      <c r="F346" s="523"/>
      <c r="G346" s="523"/>
      <c r="H346" s="524"/>
      <c r="I346" s="523"/>
      <c r="J346" s="523"/>
      <c r="K346" s="523"/>
      <c r="L346" s="523"/>
      <c r="M346" s="523"/>
      <c r="N346" s="523"/>
      <c r="O346" s="523"/>
      <c r="P346" s="523"/>
      <c r="Q346" s="523"/>
      <c r="R346" s="523"/>
      <c r="S346" s="523"/>
      <c r="T346" s="523"/>
      <c r="U346" s="523"/>
      <c r="V346" s="523"/>
      <c r="W346" s="523"/>
      <c r="X346" s="523"/>
      <c r="Y346" s="523"/>
      <c r="Z346" s="523"/>
    </row>
    <row r="347" spans="1:26" ht="15.75" customHeight="1">
      <c r="A347" s="523"/>
      <c r="B347" s="523"/>
      <c r="C347" s="523"/>
      <c r="D347" s="523"/>
      <c r="E347" s="523"/>
      <c r="F347" s="523"/>
      <c r="G347" s="523"/>
      <c r="H347" s="524"/>
      <c r="I347" s="523"/>
      <c r="J347" s="523"/>
      <c r="K347" s="523"/>
      <c r="L347" s="523"/>
      <c r="M347" s="523"/>
      <c r="N347" s="523"/>
      <c r="O347" s="523"/>
      <c r="P347" s="523"/>
      <c r="Q347" s="523"/>
      <c r="R347" s="523"/>
      <c r="S347" s="523"/>
      <c r="T347" s="523"/>
      <c r="U347" s="523"/>
      <c r="V347" s="523"/>
      <c r="W347" s="523"/>
      <c r="X347" s="523"/>
      <c r="Y347" s="523"/>
      <c r="Z347" s="523"/>
    </row>
    <row r="348" spans="1:26" ht="15.75" customHeight="1">
      <c r="A348" s="523"/>
      <c r="B348" s="523"/>
      <c r="C348" s="523"/>
      <c r="D348" s="523"/>
      <c r="E348" s="523"/>
      <c r="F348" s="523"/>
      <c r="G348" s="523"/>
      <c r="H348" s="524"/>
      <c r="I348" s="523"/>
      <c r="J348" s="523"/>
      <c r="K348" s="523"/>
      <c r="L348" s="523"/>
      <c r="M348" s="523"/>
      <c r="N348" s="523"/>
      <c r="O348" s="523"/>
      <c r="P348" s="523"/>
      <c r="Q348" s="523"/>
      <c r="R348" s="523"/>
      <c r="S348" s="523"/>
      <c r="T348" s="523"/>
      <c r="U348" s="523"/>
      <c r="V348" s="523"/>
      <c r="W348" s="523"/>
      <c r="X348" s="523"/>
      <c r="Y348" s="523"/>
      <c r="Z348" s="523"/>
    </row>
    <row r="349" spans="1:26" ht="15.75" customHeight="1">
      <c r="A349" s="523"/>
      <c r="B349" s="523"/>
      <c r="C349" s="523"/>
      <c r="D349" s="523"/>
      <c r="E349" s="523"/>
      <c r="F349" s="523"/>
      <c r="G349" s="523"/>
      <c r="H349" s="524"/>
      <c r="I349" s="523"/>
      <c r="J349" s="523"/>
      <c r="K349" s="523"/>
      <c r="L349" s="523"/>
      <c r="M349" s="523"/>
      <c r="N349" s="523"/>
      <c r="O349" s="523"/>
      <c r="P349" s="523"/>
      <c r="Q349" s="523"/>
      <c r="R349" s="523"/>
      <c r="S349" s="523"/>
      <c r="T349" s="523"/>
      <c r="U349" s="523"/>
      <c r="V349" s="523"/>
      <c r="W349" s="523"/>
      <c r="X349" s="523"/>
      <c r="Y349" s="523"/>
      <c r="Z349" s="523"/>
    </row>
    <row r="350" spans="1:26" ht="15.75" customHeight="1">
      <c r="A350" s="523"/>
      <c r="B350" s="523"/>
      <c r="C350" s="523"/>
      <c r="D350" s="523"/>
      <c r="E350" s="523"/>
      <c r="F350" s="523"/>
      <c r="G350" s="523"/>
      <c r="H350" s="524"/>
      <c r="I350" s="523"/>
      <c r="J350" s="523"/>
      <c r="K350" s="523"/>
      <c r="L350" s="523"/>
      <c r="M350" s="523"/>
      <c r="N350" s="523"/>
      <c r="O350" s="523"/>
      <c r="P350" s="523"/>
      <c r="Q350" s="523"/>
      <c r="R350" s="523"/>
      <c r="S350" s="523"/>
      <c r="T350" s="523"/>
      <c r="U350" s="523"/>
      <c r="V350" s="523"/>
      <c r="W350" s="523"/>
      <c r="X350" s="523"/>
      <c r="Y350" s="523"/>
      <c r="Z350" s="523"/>
    </row>
    <row r="351" spans="1:26" ht="15.75" customHeight="1">
      <c r="A351" s="523"/>
      <c r="B351" s="523"/>
      <c r="C351" s="523"/>
      <c r="D351" s="523"/>
      <c r="E351" s="523"/>
      <c r="F351" s="523"/>
      <c r="G351" s="523"/>
      <c r="H351" s="524"/>
      <c r="I351" s="523"/>
      <c r="J351" s="523"/>
      <c r="K351" s="523"/>
      <c r="L351" s="523"/>
      <c r="M351" s="523"/>
      <c r="N351" s="523"/>
      <c r="O351" s="523"/>
      <c r="P351" s="523"/>
      <c r="Q351" s="523"/>
      <c r="R351" s="523"/>
      <c r="S351" s="523"/>
      <c r="T351" s="523"/>
      <c r="U351" s="523"/>
      <c r="V351" s="523"/>
      <c r="W351" s="523"/>
      <c r="X351" s="523"/>
      <c r="Y351" s="523"/>
      <c r="Z351" s="523"/>
    </row>
    <row r="352" spans="1:26" ht="15.75" customHeight="1">
      <c r="A352" s="523"/>
      <c r="B352" s="523"/>
      <c r="C352" s="523"/>
      <c r="D352" s="523"/>
      <c r="E352" s="523"/>
      <c r="F352" s="523"/>
      <c r="G352" s="523"/>
      <c r="H352" s="524"/>
      <c r="I352" s="523"/>
      <c r="J352" s="523"/>
      <c r="K352" s="523"/>
      <c r="L352" s="523"/>
      <c r="M352" s="523"/>
      <c r="N352" s="523"/>
      <c r="O352" s="523"/>
      <c r="P352" s="523"/>
      <c r="Q352" s="523"/>
      <c r="R352" s="523"/>
      <c r="S352" s="523"/>
      <c r="T352" s="523"/>
      <c r="U352" s="523"/>
      <c r="V352" s="523"/>
      <c r="W352" s="523"/>
      <c r="X352" s="523"/>
      <c r="Y352" s="523"/>
      <c r="Z352" s="523"/>
    </row>
    <row r="353" spans="1:26" ht="15.75" customHeight="1">
      <c r="A353" s="523"/>
      <c r="B353" s="523"/>
      <c r="C353" s="523"/>
      <c r="D353" s="523"/>
      <c r="E353" s="523"/>
      <c r="F353" s="523"/>
      <c r="G353" s="523"/>
      <c r="H353" s="524"/>
      <c r="I353" s="523"/>
      <c r="J353" s="523"/>
      <c r="K353" s="523"/>
      <c r="L353" s="523"/>
      <c r="M353" s="523"/>
      <c r="N353" s="523"/>
      <c r="O353" s="523"/>
      <c r="P353" s="523"/>
      <c r="Q353" s="523"/>
      <c r="R353" s="523"/>
      <c r="S353" s="523"/>
      <c r="T353" s="523"/>
      <c r="U353" s="523"/>
      <c r="V353" s="523"/>
      <c r="W353" s="523"/>
      <c r="X353" s="523"/>
      <c r="Y353" s="523"/>
      <c r="Z353" s="523"/>
    </row>
    <row r="354" spans="1:26" ht="15.75" customHeight="1">
      <c r="A354" s="523"/>
      <c r="B354" s="523"/>
      <c r="C354" s="523"/>
      <c r="D354" s="523"/>
      <c r="E354" s="523"/>
      <c r="F354" s="523"/>
      <c r="G354" s="523"/>
      <c r="H354" s="524"/>
      <c r="I354" s="523"/>
      <c r="J354" s="523"/>
      <c r="K354" s="523"/>
      <c r="L354" s="523"/>
      <c r="M354" s="523"/>
      <c r="N354" s="523"/>
      <c r="O354" s="523"/>
      <c r="P354" s="523"/>
      <c r="Q354" s="523"/>
      <c r="R354" s="523"/>
      <c r="S354" s="523"/>
      <c r="T354" s="523"/>
      <c r="U354" s="523"/>
      <c r="V354" s="523"/>
      <c r="W354" s="523"/>
      <c r="X354" s="523"/>
      <c r="Y354" s="523"/>
      <c r="Z354" s="523"/>
    </row>
    <row r="355" spans="1:26" ht="15.75" customHeight="1">
      <c r="A355" s="523"/>
      <c r="B355" s="523"/>
      <c r="C355" s="523"/>
      <c r="D355" s="523"/>
      <c r="E355" s="523"/>
      <c r="F355" s="523"/>
      <c r="G355" s="523"/>
      <c r="H355" s="524"/>
      <c r="I355" s="523"/>
      <c r="J355" s="523"/>
      <c r="K355" s="523"/>
      <c r="L355" s="523"/>
      <c r="M355" s="523"/>
      <c r="N355" s="523"/>
      <c r="O355" s="523"/>
      <c r="P355" s="523"/>
      <c r="Q355" s="523"/>
      <c r="R355" s="523"/>
      <c r="S355" s="523"/>
      <c r="T355" s="523"/>
      <c r="U355" s="523"/>
      <c r="V355" s="523"/>
      <c r="W355" s="523"/>
      <c r="X355" s="523"/>
      <c r="Y355" s="523"/>
      <c r="Z355" s="523"/>
    </row>
    <row r="356" spans="1:26" ht="15.75" customHeight="1">
      <c r="A356" s="523"/>
      <c r="B356" s="523"/>
      <c r="C356" s="523"/>
      <c r="D356" s="523"/>
      <c r="E356" s="523"/>
      <c r="F356" s="523"/>
      <c r="G356" s="523"/>
      <c r="H356" s="524"/>
      <c r="I356" s="523"/>
      <c r="J356" s="523"/>
      <c r="K356" s="523"/>
      <c r="L356" s="523"/>
      <c r="M356" s="523"/>
      <c r="N356" s="523"/>
      <c r="O356" s="523"/>
      <c r="P356" s="523"/>
      <c r="Q356" s="523"/>
      <c r="R356" s="523"/>
      <c r="S356" s="523"/>
      <c r="T356" s="523"/>
      <c r="U356" s="523"/>
      <c r="V356" s="523"/>
      <c r="W356" s="523"/>
      <c r="X356" s="523"/>
      <c r="Y356" s="523"/>
      <c r="Z356" s="523"/>
    </row>
    <row r="357" spans="1:26" ht="15.75" customHeight="1">
      <c r="A357" s="523"/>
      <c r="B357" s="523"/>
      <c r="C357" s="523"/>
      <c r="D357" s="523"/>
      <c r="E357" s="523"/>
      <c r="F357" s="523"/>
      <c r="G357" s="523"/>
      <c r="H357" s="524"/>
      <c r="I357" s="523"/>
      <c r="J357" s="523"/>
      <c r="K357" s="523"/>
      <c r="L357" s="523"/>
      <c r="M357" s="523"/>
      <c r="N357" s="523"/>
      <c r="O357" s="523"/>
      <c r="P357" s="523"/>
      <c r="Q357" s="523"/>
      <c r="R357" s="523"/>
      <c r="S357" s="523"/>
      <c r="T357" s="523"/>
      <c r="U357" s="523"/>
      <c r="V357" s="523"/>
      <c r="W357" s="523"/>
      <c r="X357" s="523"/>
      <c r="Y357" s="523"/>
      <c r="Z357" s="523"/>
    </row>
    <row r="358" spans="1:26" ht="15.75" customHeight="1">
      <c r="A358" s="523"/>
      <c r="B358" s="523"/>
      <c r="C358" s="523"/>
      <c r="D358" s="523"/>
      <c r="E358" s="523"/>
      <c r="F358" s="523"/>
      <c r="G358" s="523"/>
      <c r="H358" s="524"/>
      <c r="I358" s="523"/>
      <c r="J358" s="523"/>
      <c r="K358" s="523"/>
      <c r="L358" s="523"/>
      <c r="M358" s="523"/>
      <c r="N358" s="523"/>
      <c r="O358" s="523"/>
      <c r="P358" s="523"/>
      <c r="Q358" s="523"/>
      <c r="R358" s="523"/>
      <c r="S358" s="523"/>
      <c r="T358" s="523"/>
      <c r="U358" s="523"/>
      <c r="V358" s="523"/>
      <c r="W358" s="523"/>
      <c r="X358" s="523"/>
      <c r="Y358" s="523"/>
      <c r="Z358" s="523"/>
    </row>
    <row r="359" spans="1:26" ht="15.75" customHeight="1">
      <c r="A359" s="523"/>
      <c r="B359" s="523"/>
      <c r="C359" s="523"/>
      <c r="D359" s="523"/>
      <c r="E359" s="523"/>
      <c r="F359" s="523"/>
      <c r="G359" s="523"/>
      <c r="H359" s="524"/>
      <c r="I359" s="523"/>
      <c r="J359" s="523"/>
      <c r="K359" s="523"/>
      <c r="L359" s="523"/>
      <c r="M359" s="523"/>
      <c r="N359" s="523"/>
      <c r="O359" s="523"/>
      <c r="P359" s="523"/>
      <c r="Q359" s="523"/>
      <c r="R359" s="523"/>
      <c r="S359" s="523"/>
      <c r="T359" s="523"/>
      <c r="U359" s="523"/>
      <c r="V359" s="523"/>
      <c r="W359" s="523"/>
      <c r="X359" s="523"/>
      <c r="Y359" s="523"/>
      <c r="Z359" s="523"/>
    </row>
    <row r="360" spans="1:26" ht="15.75" customHeight="1">
      <c r="A360" s="523"/>
      <c r="B360" s="523"/>
      <c r="C360" s="523"/>
      <c r="D360" s="523"/>
      <c r="E360" s="523"/>
      <c r="F360" s="523"/>
      <c r="G360" s="523"/>
      <c r="H360" s="524"/>
      <c r="I360" s="523"/>
      <c r="J360" s="523"/>
      <c r="K360" s="523"/>
      <c r="L360" s="523"/>
      <c r="M360" s="523"/>
      <c r="N360" s="523"/>
      <c r="O360" s="523"/>
      <c r="P360" s="523"/>
      <c r="Q360" s="523"/>
      <c r="R360" s="523"/>
      <c r="S360" s="523"/>
      <c r="T360" s="523"/>
      <c r="U360" s="523"/>
      <c r="V360" s="523"/>
      <c r="W360" s="523"/>
      <c r="X360" s="523"/>
      <c r="Y360" s="523"/>
      <c r="Z360" s="523"/>
    </row>
    <row r="361" spans="1:26" ht="15.75" customHeight="1">
      <c r="A361" s="523"/>
      <c r="B361" s="523"/>
      <c r="C361" s="523"/>
      <c r="D361" s="523"/>
      <c r="E361" s="523"/>
      <c r="F361" s="523"/>
      <c r="G361" s="523"/>
      <c r="H361" s="524"/>
      <c r="I361" s="523"/>
      <c r="J361" s="523"/>
      <c r="K361" s="523"/>
      <c r="L361" s="523"/>
      <c r="M361" s="523"/>
      <c r="N361" s="523"/>
      <c r="O361" s="523"/>
      <c r="P361" s="523"/>
      <c r="Q361" s="523"/>
      <c r="R361" s="523"/>
      <c r="S361" s="523"/>
      <c r="T361" s="523"/>
      <c r="U361" s="523"/>
      <c r="V361" s="523"/>
      <c r="W361" s="523"/>
      <c r="X361" s="523"/>
      <c r="Y361" s="523"/>
      <c r="Z361" s="523"/>
    </row>
    <row r="362" spans="1:26" ht="15.75" customHeight="1">
      <c r="A362" s="523"/>
      <c r="B362" s="523"/>
      <c r="C362" s="523"/>
      <c r="D362" s="523"/>
      <c r="E362" s="523"/>
      <c r="F362" s="523"/>
      <c r="G362" s="523"/>
      <c r="H362" s="524"/>
      <c r="I362" s="523"/>
      <c r="J362" s="523"/>
      <c r="K362" s="523"/>
      <c r="L362" s="523"/>
      <c r="M362" s="523"/>
      <c r="N362" s="523"/>
      <c r="O362" s="523"/>
      <c r="P362" s="523"/>
      <c r="Q362" s="523"/>
      <c r="R362" s="523"/>
      <c r="S362" s="523"/>
      <c r="T362" s="523"/>
      <c r="U362" s="523"/>
      <c r="V362" s="523"/>
      <c r="W362" s="523"/>
      <c r="X362" s="523"/>
      <c r="Y362" s="523"/>
      <c r="Z362" s="523"/>
    </row>
    <row r="363" spans="1:26" ht="15.75" customHeight="1">
      <c r="A363" s="523"/>
      <c r="B363" s="523"/>
      <c r="C363" s="523"/>
      <c r="D363" s="523"/>
      <c r="E363" s="523"/>
      <c r="F363" s="523"/>
      <c r="G363" s="523"/>
      <c r="H363" s="524"/>
      <c r="I363" s="523"/>
      <c r="J363" s="523"/>
      <c r="K363" s="523"/>
      <c r="L363" s="523"/>
      <c r="M363" s="523"/>
      <c r="N363" s="523"/>
      <c r="O363" s="523"/>
      <c r="P363" s="523"/>
      <c r="Q363" s="523"/>
      <c r="R363" s="523"/>
      <c r="S363" s="523"/>
      <c r="T363" s="523"/>
      <c r="U363" s="523"/>
      <c r="V363" s="523"/>
      <c r="W363" s="523"/>
      <c r="X363" s="523"/>
      <c r="Y363" s="523"/>
      <c r="Z363" s="523"/>
    </row>
    <row r="364" spans="1:26" ht="15.75" customHeight="1">
      <c r="A364" s="523"/>
      <c r="B364" s="523"/>
      <c r="C364" s="523"/>
      <c r="D364" s="523"/>
      <c r="E364" s="523"/>
      <c r="F364" s="523"/>
      <c r="G364" s="523"/>
      <c r="H364" s="524"/>
      <c r="I364" s="523"/>
      <c r="J364" s="523"/>
      <c r="K364" s="523"/>
      <c r="L364" s="523"/>
      <c r="M364" s="523"/>
      <c r="N364" s="523"/>
      <c r="O364" s="523"/>
      <c r="P364" s="523"/>
      <c r="Q364" s="523"/>
      <c r="R364" s="523"/>
      <c r="S364" s="523"/>
      <c r="T364" s="523"/>
      <c r="U364" s="523"/>
      <c r="V364" s="523"/>
      <c r="W364" s="523"/>
      <c r="X364" s="523"/>
      <c r="Y364" s="523"/>
      <c r="Z364" s="523"/>
    </row>
    <row r="365" spans="1:26" ht="15.75" customHeight="1">
      <c r="A365" s="523"/>
      <c r="B365" s="523"/>
      <c r="C365" s="523"/>
      <c r="D365" s="523"/>
      <c r="E365" s="523"/>
      <c r="F365" s="523"/>
      <c r="G365" s="523"/>
      <c r="H365" s="524"/>
      <c r="I365" s="523"/>
      <c r="J365" s="523"/>
      <c r="K365" s="523"/>
      <c r="L365" s="523"/>
      <c r="M365" s="523"/>
      <c r="N365" s="523"/>
      <c r="O365" s="523"/>
      <c r="P365" s="523"/>
      <c r="Q365" s="523"/>
      <c r="R365" s="523"/>
      <c r="S365" s="523"/>
      <c r="T365" s="523"/>
      <c r="U365" s="523"/>
      <c r="V365" s="523"/>
      <c r="W365" s="523"/>
      <c r="X365" s="523"/>
      <c r="Y365" s="523"/>
      <c r="Z365" s="523"/>
    </row>
    <row r="366" spans="1:26" ht="15.75" customHeight="1">
      <c r="A366" s="523"/>
      <c r="B366" s="523"/>
      <c r="C366" s="523"/>
      <c r="D366" s="523"/>
      <c r="E366" s="523"/>
      <c r="F366" s="523"/>
      <c r="G366" s="523"/>
      <c r="H366" s="524"/>
      <c r="I366" s="523"/>
      <c r="J366" s="523"/>
      <c r="K366" s="523"/>
      <c r="L366" s="523"/>
      <c r="M366" s="523"/>
      <c r="N366" s="523"/>
      <c r="O366" s="523"/>
      <c r="P366" s="523"/>
      <c r="Q366" s="523"/>
      <c r="R366" s="523"/>
      <c r="S366" s="523"/>
      <c r="T366" s="523"/>
      <c r="U366" s="523"/>
      <c r="V366" s="523"/>
      <c r="W366" s="523"/>
      <c r="X366" s="523"/>
      <c r="Y366" s="523"/>
      <c r="Z366" s="523"/>
    </row>
    <row r="367" spans="1:26" ht="15.75" customHeight="1">
      <c r="A367" s="523"/>
      <c r="B367" s="523"/>
      <c r="C367" s="523"/>
      <c r="D367" s="523"/>
      <c r="E367" s="523"/>
      <c r="F367" s="523"/>
      <c r="G367" s="523"/>
      <c r="H367" s="524"/>
      <c r="I367" s="523"/>
      <c r="J367" s="523"/>
      <c r="K367" s="523"/>
      <c r="L367" s="523"/>
      <c r="M367" s="523"/>
      <c r="N367" s="523"/>
      <c r="O367" s="523"/>
      <c r="P367" s="523"/>
      <c r="Q367" s="523"/>
      <c r="R367" s="523"/>
      <c r="S367" s="523"/>
      <c r="T367" s="523"/>
      <c r="U367" s="523"/>
      <c r="V367" s="523"/>
      <c r="W367" s="523"/>
      <c r="X367" s="523"/>
      <c r="Y367" s="523"/>
      <c r="Z367" s="523"/>
    </row>
    <row r="368" spans="1:26" ht="15.75" customHeight="1">
      <c r="A368" s="523"/>
      <c r="B368" s="523"/>
      <c r="C368" s="523"/>
      <c r="D368" s="523"/>
      <c r="E368" s="523"/>
      <c r="F368" s="523"/>
      <c r="G368" s="523"/>
      <c r="H368" s="524"/>
      <c r="I368" s="523"/>
      <c r="J368" s="523"/>
      <c r="K368" s="523"/>
      <c r="L368" s="523"/>
      <c r="M368" s="523"/>
      <c r="N368" s="523"/>
      <c r="O368" s="523"/>
      <c r="P368" s="523"/>
      <c r="Q368" s="523"/>
      <c r="R368" s="523"/>
      <c r="S368" s="523"/>
      <c r="T368" s="523"/>
      <c r="U368" s="523"/>
      <c r="V368" s="523"/>
      <c r="W368" s="523"/>
      <c r="X368" s="523"/>
      <c r="Y368" s="523"/>
      <c r="Z368" s="523"/>
    </row>
    <row r="369" spans="1:26" ht="15.75" customHeight="1">
      <c r="A369" s="523"/>
      <c r="B369" s="523"/>
      <c r="C369" s="523"/>
      <c r="D369" s="523"/>
      <c r="E369" s="523"/>
      <c r="F369" s="523"/>
      <c r="G369" s="523"/>
      <c r="H369" s="524"/>
      <c r="I369" s="523"/>
      <c r="J369" s="523"/>
      <c r="K369" s="523"/>
      <c r="L369" s="523"/>
      <c r="M369" s="523"/>
      <c r="N369" s="523"/>
      <c r="O369" s="523"/>
      <c r="P369" s="523"/>
      <c r="Q369" s="523"/>
      <c r="R369" s="523"/>
      <c r="S369" s="523"/>
      <c r="T369" s="523"/>
      <c r="U369" s="523"/>
      <c r="V369" s="523"/>
      <c r="W369" s="523"/>
      <c r="X369" s="523"/>
      <c r="Y369" s="523"/>
      <c r="Z369" s="523"/>
    </row>
    <row r="370" spans="1:26" ht="15.75" customHeight="1">
      <c r="A370" s="523"/>
      <c r="B370" s="523"/>
      <c r="C370" s="523"/>
      <c r="D370" s="523"/>
      <c r="E370" s="523"/>
      <c r="F370" s="523"/>
      <c r="G370" s="523"/>
      <c r="H370" s="524"/>
      <c r="I370" s="523"/>
      <c r="J370" s="523"/>
      <c r="K370" s="523"/>
      <c r="L370" s="523"/>
      <c r="M370" s="523"/>
      <c r="N370" s="523"/>
      <c r="O370" s="523"/>
      <c r="P370" s="523"/>
      <c r="Q370" s="523"/>
      <c r="R370" s="523"/>
      <c r="S370" s="523"/>
      <c r="T370" s="523"/>
      <c r="U370" s="523"/>
      <c r="V370" s="523"/>
      <c r="W370" s="523"/>
      <c r="X370" s="523"/>
      <c r="Y370" s="523"/>
      <c r="Z370" s="523"/>
    </row>
    <row r="371" spans="1:26" ht="15.75" customHeight="1">
      <c r="A371" s="523"/>
      <c r="B371" s="523"/>
      <c r="C371" s="523"/>
      <c r="D371" s="523"/>
      <c r="E371" s="523"/>
      <c r="F371" s="523"/>
      <c r="G371" s="523"/>
      <c r="H371" s="524"/>
      <c r="I371" s="523"/>
      <c r="J371" s="523"/>
      <c r="K371" s="523"/>
      <c r="L371" s="523"/>
      <c r="M371" s="523"/>
      <c r="N371" s="523"/>
      <c r="O371" s="523"/>
      <c r="P371" s="523"/>
      <c r="Q371" s="523"/>
      <c r="R371" s="523"/>
      <c r="S371" s="523"/>
      <c r="T371" s="523"/>
      <c r="U371" s="523"/>
      <c r="V371" s="523"/>
      <c r="W371" s="523"/>
      <c r="X371" s="523"/>
      <c r="Y371" s="523"/>
      <c r="Z371" s="523"/>
    </row>
    <row r="372" spans="1:26" ht="15.75" customHeight="1">
      <c r="A372" s="523"/>
      <c r="B372" s="523"/>
      <c r="C372" s="523"/>
      <c r="D372" s="523"/>
      <c r="E372" s="523"/>
      <c r="F372" s="523"/>
      <c r="G372" s="523"/>
      <c r="H372" s="524"/>
      <c r="I372" s="523"/>
      <c r="J372" s="523"/>
      <c r="K372" s="523"/>
      <c r="L372" s="523"/>
      <c r="M372" s="523"/>
      <c r="N372" s="523"/>
      <c r="O372" s="523"/>
      <c r="P372" s="523"/>
      <c r="Q372" s="523"/>
      <c r="R372" s="523"/>
      <c r="S372" s="523"/>
      <c r="T372" s="523"/>
      <c r="U372" s="523"/>
      <c r="V372" s="523"/>
      <c r="W372" s="523"/>
      <c r="X372" s="523"/>
      <c r="Y372" s="523"/>
      <c r="Z372" s="523"/>
    </row>
    <row r="373" spans="1:26" ht="15.75" customHeight="1">
      <c r="A373" s="523"/>
      <c r="B373" s="523"/>
      <c r="C373" s="523"/>
      <c r="D373" s="523"/>
      <c r="E373" s="523"/>
      <c r="F373" s="523"/>
      <c r="G373" s="523"/>
      <c r="H373" s="524"/>
      <c r="I373" s="523"/>
      <c r="J373" s="523"/>
      <c r="K373" s="523"/>
      <c r="L373" s="523"/>
      <c r="M373" s="523"/>
      <c r="N373" s="523"/>
      <c r="O373" s="523"/>
      <c r="P373" s="523"/>
      <c r="Q373" s="523"/>
      <c r="R373" s="523"/>
      <c r="S373" s="523"/>
      <c r="T373" s="523"/>
      <c r="U373" s="523"/>
      <c r="V373" s="523"/>
      <c r="W373" s="523"/>
      <c r="X373" s="523"/>
      <c r="Y373" s="523"/>
      <c r="Z373" s="523"/>
    </row>
    <row r="374" spans="1:26" ht="15.75" customHeight="1">
      <c r="A374" s="523"/>
      <c r="B374" s="523"/>
      <c r="C374" s="523"/>
      <c r="D374" s="523"/>
      <c r="E374" s="523"/>
      <c r="F374" s="523"/>
      <c r="G374" s="523"/>
      <c r="H374" s="524"/>
      <c r="I374" s="523"/>
      <c r="J374" s="523"/>
      <c r="K374" s="523"/>
      <c r="L374" s="523"/>
      <c r="M374" s="523"/>
      <c r="N374" s="523"/>
      <c r="O374" s="523"/>
      <c r="P374" s="523"/>
      <c r="Q374" s="523"/>
      <c r="R374" s="523"/>
      <c r="S374" s="523"/>
      <c r="T374" s="523"/>
      <c r="U374" s="523"/>
      <c r="V374" s="523"/>
      <c r="W374" s="523"/>
      <c r="X374" s="523"/>
      <c r="Y374" s="523"/>
      <c r="Z374" s="523"/>
    </row>
    <row r="375" spans="1:26" ht="15.75" customHeight="1">
      <c r="A375" s="523"/>
      <c r="B375" s="523"/>
      <c r="C375" s="523"/>
      <c r="D375" s="523"/>
      <c r="E375" s="523"/>
      <c r="F375" s="523"/>
      <c r="G375" s="523"/>
      <c r="H375" s="524"/>
      <c r="I375" s="523"/>
      <c r="J375" s="523"/>
      <c r="K375" s="523"/>
      <c r="L375" s="523"/>
      <c r="M375" s="523"/>
      <c r="N375" s="523"/>
      <c r="O375" s="523"/>
      <c r="P375" s="523"/>
      <c r="Q375" s="523"/>
      <c r="R375" s="523"/>
      <c r="S375" s="523"/>
      <c r="T375" s="523"/>
      <c r="U375" s="523"/>
      <c r="V375" s="523"/>
      <c r="W375" s="523"/>
      <c r="X375" s="523"/>
      <c r="Y375" s="523"/>
      <c r="Z375" s="523"/>
    </row>
    <row r="376" spans="1:26" ht="15.75" customHeight="1">
      <c r="A376" s="523"/>
      <c r="B376" s="523"/>
      <c r="C376" s="523"/>
      <c r="D376" s="523"/>
      <c r="E376" s="523"/>
      <c r="F376" s="523"/>
      <c r="G376" s="523"/>
      <c r="H376" s="524"/>
      <c r="I376" s="523"/>
      <c r="J376" s="523"/>
      <c r="K376" s="523"/>
      <c r="L376" s="523"/>
      <c r="M376" s="523"/>
      <c r="N376" s="523"/>
      <c r="O376" s="523"/>
      <c r="P376" s="523"/>
      <c r="Q376" s="523"/>
      <c r="R376" s="523"/>
      <c r="S376" s="523"/>
      <c r="T376" s="523"/>
      <c r="U376" s="523"/>
      <c r="V376" s="523"/>
      <c r="W376" s="523"/>
      <c r="X376" s="523"/>
      <c r="Y376" s="523"/>
      <c r="Z376" s="523"/>
    </row>
    <row r="377" spans="1:26" ht="15.75" customHeight="1">
      <c r="A377" s="523"/>
      <c r="B377" s="523"/>
      <c r="C377" s="523"/>
      <c r="D377" s="523"/>
      <c r="E377" s="523"/>
      <c r="F377" s="523"/>
      <c r="G377" s="523"/>
      <c r="H377" s="524"/>
      <c r="I377" s="523"/>
      <c r="J377" s="523"/>
      <c r="K377" s="523"/>
      <c r="L377" s="523"/>
      <c r="M377" s="523"/>
      <c r="N377" s="523"/>
      <c r="O377" s="523"/>
      <c r="P377" s="523"/>
      <c r="Q377" s="523"/>
      <c r="R377" s="523"/>
      <c r="S377" s="523"/>
      <c r="T377" s="523"/>
      <c r="U377" s="523"/>
      <c r="V377" s="523"/>
      <c r="W377" s="523"/>
      <c r="X377" s="523"/>
      <c r="Y377" s="523"/>
      <c r="Z377" s="523"/>
    </row>
    <row r="378" spans="1:26" ht="15.75" customHeight="1">
      <c r="A378" s="523"/>
      <c r="B378" s="523"/>
      <c r="C378" s="523"/>
      <c r="D378" s="523"/>
      <c r="E378" s="523"/>
      <c r="F378" s="523"/>
      <c r="G378" s="523"/>
      <c r="H378" s="524"/>
      <c r="I378" s="523"/>
      <c r="J378" s="523"/>
      <c r="K378" s="523"/>
      <c r="L378" s="523"/>
      <c r="M378" s="523"/>
      <c r="N378" s="523"/>
      <c r="O378" s="523"/>
      <c r="P378" s="523"/>
      <c r="Q378" s="523"/>
      <c r="R378" s="523"/>
      <c r="S378" s="523"/>
      <c r="T378" s="523"/>
      <c r="U378" s="523"/>
      <c r="V378" s="523"/>
      <c r="W378" s="523"/>
      <c r="X378" s="523"/>
      <c r="Y378" s="523"/>
      <c r="Z378" s="523"/>
    </row>
    <row r="379" spans="1:26" ht="15.75" customHeight="1">
      <c r="A379" s="523"/>
      <c r="B379" s="523"/>
      <c r="C379" s="523"/>
      <c r="D379" s="523"/>
      <c r="E379" s="523"/>
      <c r="F379" s="523"/>
      <c r="G379" s="523"/>
      <c r="H379" s="524"/>
      <c r="I379" s="523"/>
      <c r="J379" s="523"/>
      <c r="K379" s="523"/>
      <c r="L379" s="523"/>
      <c r="M379" s="523"/>
      <c r="N379" s="523"/>
      <c r="O379" s="523"/>
      <c r="P379" s="523"/>
      <c r="Q379" s="523"/>
      <c r="R379" s="523"/>
      <c r="S379" s="523"/>
      <c r="T379" s="523"/>
      <c r="U379" s="523"/>
      <c r="V379" s="523"/>
      <c r="W379" s="523"/>
      <c r="X379" s="523"/>
      <c r="Y379" s="523"/>
      <c r="Z379" s="523"/>
    </row>
    <row r="380" spans="1:26" ht="15.75" customHeight="1">
      <c r="A380" s="523"/>
      <c r="B380" s="523"/>
      <c r="C380" s="523"/>
      <c r="D380" s="523"/>
      <c r="E380" s="523"/>
      <c r="F380" s="523"/>
      <c r="G380" s="523"/>
      <c r="H380" s="524"/>
      <c r="I380" s="523"/>
      <c r="J380" s="523"/>
      <c r="K380" s="523"/>
      <c r="L380" s="523"/>
      <c r="M380" s="523"/>
      <c r="N380" s="523"/>
      <c r="O380" s="523"/>
      <c r="P380" s="523"/>
      <c r="Q380" s="523"/>
      <c r="R380" s="523"/>
      <c r="S380" s="523"/>
      <c r="T380" s="523"/>
      <c r="U380" s="523"/>
      <c r="V380" s="523"/>
      <c r="W380" s="523"/>
      <c r="X380" s="523"/>
      <c r="Y380" s="523"/>
      <c r="Z380" s="523"/>
    </row>
    <row r="381" spans="1:26" ht="15.75" customHeight="1">
      <c r="A381" s="523"/>
      <c r="B381" s="523"/>
      <c r="C381" s="523"/>
      <c r="D381" s="523"/>
      <c r="E381" s="523"/>
      <c r="F381" s="523"/>
      <c r="G381" s="523"/>
      <c r="H381" s="524"/>
      <c r="I381" s="523"/>
      <c r="J381" s="523"/>
      <c r="K381" s="523"/>
      <c r="L381" s="523"/>
      <c r="M381" s="523"/>
      <c r="N381" s="523"/>
      <c r="O381" s="523"/>
      <c r="P381" s="523"/>
      <c r="Q381" s="523"/>
      <c r="R381" s="523"/>
      <c r="S381" s="523"/>
      <c r="T381" s="523"/>
      <c r="U381" s="523"/>
      <c r="V381" s="523"/>
      <c r="W381" s="523"/>
      <c r="X381" s="523"/>
      <c r="Y381" s="523"/>
      <c r="Z381" s="523"/>
    </row>
    <row r="382" spans="1:26" ht="15.75" customHeight="1">
      <c r="A382" s="523"/>
      <c r="B382" s="523"/>
      <c r="C382" s="523"/>
      <c r="D382" s="523"/>
      <c r="E382" s="523"/>
      <c r="F382" s="523"/>
      <c r="G382" s="523"/>
      <c r="H382" s="524"/>
      <c r="I382" s="523"/>
      <c r="J382" s="523"/>
      <c r="K382" s="523"/>
      <c r="L382" s="523"/>
      <c r="M382" s="523"/>
      <c r="N382" s="523"/>
      <c r="O382" s="523"/>
      <c r="P382" s="523"/>
      <c r="Q382" s="523"/>
      <c r="R382" s="523"/>
      <c r="S382" s="523"/>
      <c r="T382" s="523"/>
      <c r="U382" s="523"/>
      <c r="V382" s="523"/>
      <c r="W382" s="523"/>
      <c r="X382" s="523"/>
      <c r="Y382" s="523"/>
      <c r="Z382" s="523"/>
    </row>
    <row r="383" spans="1:26" ht="15.75" customHeight="1">
      <c r="A383" s="523"/>
      <c r="B383" s="523"/>
      <c r="C383" s="523"/>
      <c r="D383" s="523"/>
      <c r="E383" s="523"/>
      <c r="F383" s="523"/>
      <c r="G383" s="523"/>
      <c r="H383" s="524"/>
      <c r="I383" s="523"/>
      <c r="J383" s="523"/>
      <c r="K383" s="523"/>
      <c r="L383" s="523"/>
      <c r="M383" s="523"/>
      <c r="N383" s="523"/>
      <c r="O383" s="523"/>
      <c r="P383" s="523"/>
      <c r="Q383" s="523"/>
      <c r="R383" s="523"/>
      <c r="S383" s="523"/>
      <c r="T383" s="523"/>
      <c r="U383" s="523"/>
      <c r="V383" s="523"/>
      <c r="W383" s="523"/>
      <c r="X383" s="523"/>
      <c r="Y383" s="523"/>
      <c r="Z383" s="523"/>
    </row>
    <row r="384" spans="1:26" ht="15.75" customHeight="1">
      <c r="A384" s="523"/>
      <c r="B384" s="523"/>
      <c r="C384" s="523"/>
      <c r="D384" s="523"/>
      <c r="E384" s="523"/>
      <c r="F384" s="523"/>
      <c r="G384" s="523"/>
      <c r="H384" s="524"/>
      <c r="I384" s="523"/>
      <c r="J384" s="523"/>
      <c r="K384" s="523"/>
      <c r="L384" s="523"/>
      <c r="M384" s="523"/>
      <c r="N384" s="523"/>
      <c r="O384" s="523"/>
      <c r="P384" s="523"/>
      <c r="Q384" s="523"/>
      <c r="R384" s="523"/>
      <c r="S384" s="523"/>
      <c r="T384" s="523"/>
      <c r="U384" s="523"/>
      <c r="V384" s="523"/>
      <c r="W384" s="523"/>
      <c r="X384" s="523"/>
      <c r="Y384" s="523"/>
      <c r="Z384" s="523"/>
    </row>
    <row r="385" spans="1:26" ht="15.75" customHeight="1">
      <c r="A385" s="523"/>
      <c r="B385" s="523"/>
      <c r="C385" s="523"/>
      <c r="D385" s="523"/>
      <c r="E385" s="523"/>
      <c r="F385" s="523"/>
      <c r="G385" s="523"/>
      <c r="H385" s="524"/>
      <c r="I385" s="523"/>
      <c r="J385" s="523"/>
      <c r="K385" s="523"/>
      <c r="L385" s="523"/>
      <c r="M385" s="523"/>
      <c r="N385" s="523"/>
      <c r="O385" s="523"/>
      <c r="P385" s="523"/>
      <c r="Q385" s="523"/>
      <c r="R385" s="523"/>
      <c r="S385" s="523"/>
      <c r="T385" s="523"/>
      <c r="U385" s="523"/>
      <c r="V385" s="523"/>
      <c r="W385" s="523"/>
      <c r="X385" s="523"/>
      <c r="Y385" s="523"/>
      <c r="Z385" s="523"/>
    </row>
    <row r="386" spans="1:26" ht="15.75" customHeight="1">
      <c r="A386" s="523"/>
      <c r="B386" s="523"/>
      <c r="C386" s="523"/>
      <c r="D386" s="523"/>
      <c r="E386" s="523"/>
      <c r="F386" s="523"/>
      <c r="G386" s="523"/>
      <c r="H386" s="524"/>
      <c r="I386" s="523"/>
      <c r="J386" s="523"/>
      <c r="K386" s="523"/>
      <c r="L386" s="523"/>
      <c r="M386" s="523"/>
      <c r="N386" s="523"/>
      <c r="O386" s="523"/>
      <c r="P386" s="523"/>
      <c r="Q386" s="523"/>
      <c r="R386" s="523"/>
      <c r="S386" s="523"/>
      <c r="T386" s="523"/>
      <c r="U386" s="523"/>
      <c r="V386" s="523"/>
      <c r="W386" s="523"/>
      <c r="X386" s="523"/>
      <c r="Y386" s="523"/>
      <c r="Z386" s="523"/>
    </row>
    <row r="387" spans="1:26" ht="15.75" customHeight="1">
      <c r="A387" s="523"/>
      <c r="B387" s="523"/>
      <c r="C387" s="523"/>
      <c r="D387" s="523"/>
      <c r="E387" s="523"/>
      <c r="F387" s="523"/>
      <c r="G387" s="523"/>
      <c r="H387" s="524"/>
      <c r="I387" s="523"/>
      <c r="J387" s="523"/>
      <c r="K387" s="523"/>
      <c r="L387" s="523"/>
      <c r="M387" s="523"/>
      <c r="N387" s="523"/>
      <c r="O387" s="523"/>
      <c r="P387" s="523"/>
      <c r="Q387" s="523"/>
      <c r="R387" s="523"/>
      <c r="S387" s="523"/>
      <c r="T387" s="523"/>
      <c r="U387" s="523"/>
      <c r="V387" s="523"/>
      <c r="W387" s="523"/>
      <c r="X387" s="523"/>
      <c r="Y387" s="523"/>
      <c r="Z387" s="523"/>
    </row>
    <row r="388" spans="1:26" ht="15.75" customHeight="1">
      <c r="A388" s="523"/>
      <c r="B388" s="523"/>
      <c r="C388" s="523"/>
      <c r="D388" s="523"/>
      <c r="E388" s="523"/>
      <c r="F388" s="523"/>
      <c r="G388" s="523"/>
      <c r="H388" s="524"/>
      <c r="I388" s="523"/>
      <c r="J388" s="523"/>
      <c r="K388" s="523"/>
      <c r="L388" s="523"/>
      <c r="M388" s="523"/>
      <c r="N388" s="523"/>
      <c r="O388" s="523"/>
      <c r="P388" s="523"/>
      <c r="Q388" s="523"/>
      <c r="R388" s="523"/>
      <c r="S388" s="523"/>
      <c r="T388" s="523"/>
      <c r="U388" s="523"/>
      <c r="V388" s="523"/>
      <c r="W388" s="523"/>
      <c r="X388" s="523"/>
      <c r="Y388" s="523"/>
      <c r="Z388" s="523"/>
    </row>
    <row r="389" spans="1:26" ht="15.75" customHeight="1">
      <c r="A389" s="523"/>
      <c r="B389" s="523"/>
      <c r="C389" s="523"/>
      <c r="D389" s="523"/>
      <c r="E389" s="523"/>
      <c r="F389" s="523"/>
      <c r="G389" s="523"/>
      <c r="H389" s="524"/>
      <c r="I389" s="523"/>
      <c r="J389" s="523"/>
      <c r="K389" s="523"/>
      <c r="L389" s="523"/>
      <c r="M389" s="523"/>
      <c r="N389" s="523"/>
      <c r="O389" s="523"/>
      <c r="P389" s="523"/>
      <c r="Q389" s="523"/>
      <c r="R389" s="523"/>
      <c r="S389" s="523"/>
      <c r="T389" s="523"/>
      <c r="U389" s="523"/>
      <c r="V389" s="523"/>
      <c r="W389" s="523"/>
      <c r="X389" s="523"/>
      <c r="Y389" s="523"/>
      <c r="Z389" s="523"/>
    </row>
    <row r="390" spans="1:26" ht="15.75" customHeight="1">
      <c r="A390" s="523"/>
      <c r="B390" s="523"/>
      <c r="C390" s="523"/>
      <c r="D390" s="523"/>
      <c r="E390" s="523"/>
      <c r="F390" s="523"/>
      <c r="G390" s="523"/>
      <c r="H390" s="524"/>
      <c r="I390" s="523"/>
      <c r="J390" s="523"/>
      <c r="K390" s="523"/>
      <c r="L390" s="523"/>
      <c r="M390" s="523"/>
      <c r="N390" s="523"/>
      <c r="O390" s="523"/>
      <c r="P390" s="523"/>
      <c r="Q390" s="523"/>
      <c r="R390" s="523"/>
      <c r="S390" s="523"/>
      <c r="T390" s="523"/>
      <c r="U390" s="523"/>
      <c r="V390" s="523"/>
      <c r="W390" s="523"/>
      <c r="X390" s="523"/>
      <c r="Y390" s="523"/>
      <c r="Z390" s="523"/>
    </row>
    <row r="391" spans="1:26" ht="15.75" customHeight="1">
      <c r="A391" s="523"/>
      <c r="B391" s="523"/>
      <c r="C391" s="523"/>
      <c r="D391" s="523"/>
      <c r="E391" s="523"/>
      <c r="F391" s="523"/>
      <c r="G391" s="523"/>
      <c r="H391" s="524"/>
      <c r="I391" s="523"/>
      <c r="J391" s="523"/>
      <c r="K391" s="523"/>
      <c r="L391" s="523"/>
      <c r="M391" s="523"/>
      <c r="N391" s="523"/>
      <c r="O391" s="523"/>
      <c r="P391" s="523"/>
      <c r="Q391" s="523"/>
      <c r="R391" s="523"/>
      <c r="S391" s="523"/>
      <c r="T391" s="523"/>
      <c r="U391" s="523"/>
      <c r="V391" s="523"/>
      <c r="W391" s="523"/>
      <c r="X391" s="523"/>
      <c r="Y391" s="523"/>
      <c r="Z391" s="523"/>
    </row>
    <row r="392" spans="1:26" ht="15.75" customHeight="1">
      <c r="A392" s="523"/>
      <c r="B392" s="523"/>
      <c r="C392" s="523"/>
      <c r="D392" s="523"/>
      <c r="E392" s="523"/>
      <c r="F392" s="523"/>
      <c r="G392" s="523"/>
      <c r="H392" s="524"/>
      <c r="I392" s="523"/>
      <c r="J392" s="523"/>
      <c r="K392" s="523"/>
      <c r="L392" s="523"/>
      <c r="M392" s="523"/>
      <c r="N392" s="523"/>
      <c r="O392" s="523"/>
      <c r="P392" s="523"/>
      <c r="Q392" s="523"/>
      <c r="R392" s="523"/>
      <c r="S392" s="523"/>
      <c r="T392" s="523"/>
      <c r="U392" s="523"/>
      <c r="V392" s="523"/>
      <c r="W392" s="523"/>
      <c r="X392" s="523"/>
      <c r="Y392" s="523"/>
      <c r="Z392" s="523"/>
    </row>
    <row r="393" spans="1:26" ht="15.75" customHeight="1">
      <c r="A393" s="523"/>
      <c r="B393" s="523"/>
      <c r="C393" s="523"/>
      <c r="D393" s="523"/>
      <c r="E393" s="523"/>
      <c r="F393" s="523"/>
      <c r="G393" s="523"/>
      <c r="H393" s="524"/>
      <c r="I393" s="523"/>
      <c r="J393" s="523"/>
      <c r="K393" s="523"/>
      <c r="L393" s="523"/>
      <c r="M393" s="523"/>
      <c r="N393" s="523"/>
      <c r="O393" s="523"/>
      <c r="P393" s="523"/>
      <c r="Q393" s="523"/>
      <c r="R393" s="523"/>
      <c r="S393" s="523"/>
      <c r="T393" s="523"/>
      <c r="U393" s="523"/>
      <c r="V393" s="523"/>
      <c r="W393" s="523"/>
      <c r="X393" s="523"/>
      <c r="Y393" s="523"/>
      <c r="Z393" s="523"/>
    </row>
    <row r="394" spans="1:26" ht="15.75" customHeight="1">
      <c r="A394" s="523"/>
      <c r="B394" s="523"/>
      <c r="C394" s="523"/>
      <c r="D394" s="523"/>
      <c r="E394" s="523"/>
      <c r="F394" s="523"/>
      <c r="G394" s="523"/>
      <c r="H394" s="524"/>
      <c r="I394" s="523"/>
      <c r="J394" s="523"/>
      <c r="K394" s="523"/>
      <c r="L394" s="523"/>
      <c r="M394" s="523"/>
      <c r="N394" s="523"/>
      <c r="O394" s="523"/>
      <c r="P394" s="523"/>
      <c r="Q394" s="523"/>
      <c r="R394" s="523"/>
      <c r="S394" s="523"/>
      <c r="T394" s="523"/>
      <c r="U394" s="523"/>
      <c r="V394" s="523"/>
      <c r="W394" s="523"/>
      <c r="X394" s="523"/>
      <c r="Y394" s="523"/>
      <c r="Z394" s="523"/>
    </row>
    <row r="395" spans="1:26" ht="15.75" customHeight="1">
      <c r="A395" s="523"/>
      <c r="B395" s="523"/>
      <c r="C395" s="523"/>
      <c r="D395" s="523"/>
      <c r="E395" s="523"/>
      <c r="F395" s="523"/>
      <c r="G395" s="523"/>
      <c r="H395" s="524"/>
      <c r="I395" s="523"/>
      <c r="J395" s="523"/>
      <c r="K395" s="523"/>
      <c r="L395" s="523"/>
      <c r="M395" s="523"/>
      <c r="N395" s="523"/>
      <c r="O395" s="523"/>
      <c r="P395" s="523"/>
      <c r="Q395" s="523"/>
      <c r="R395" s="523"/>
      <c r="S395" s="523"/>
      <c r="T395" s="523"/>
      <c r="U395" s="523"/>
      <c r="V395" s="523"/>
      <c r="W395" s="523"/>
      <c r="X395" s="523"/>
      <c r="Y395" s="523"/>
      <c r="Z395" s="523"/>
    </row>
    <row r="396" spans="1:26" ht="15.75" customHeight="1">
      <c r="A396" s="523"/>
      <c r="B396" s="523"/>
      <c r="C396" s="523"/>
      <c r="D396" s="523"/>
      <c r="E396" s="523"/>
      <c r="F396" s="523"/>
      <c r="G396" s="523"/>
      <c r="H396" s="524"/>
      <c r="I396" s="523"/>
      <c r="J396" s="523"/>
      <c r="K396" s="523"/>
      <c r="L396" s="523"/>
      <c r="M396" s="523"/>
      <c r="N396" s="523"/>
      <c r="O396" s="523"/>
      <c r="P396" s="523"/>
      <c r="Q396" s="523"/>
      <c r="R396" s="523"/>
      <c r="S396" s="523"/>
      <c r="T396" s="523"/>
      <c r="U396" s="523"/>
      <c r="V396" s="523"/>
      <c r="W396" s="523"/>
      <c r="X396" s="523"/>
      <c r="Y396" s="523"/>
      <c r="Z396" s="523"/>
    </row>
    <row r="397" spans="1:26" ht="15.75" customHeight="1">
      <c r="A397" s="523"/>
      <c r="B397" s="523"/>
      <c r="C397" s="523"/>
      <c r="D397" s="523"/>
      <c r="E397" s="523"/>
      <c r="F397" s="523"/>
      <c r="G397" s="523"/>
      <c r="H397" s="524"/>
      <c r="I397" s="523"/>
      <c r="J397" s="523"/>
      <c r="K397" s="523"/>
      <c r="L397" s="523"/>
      <c r="M397" s="523"/>
      <c r="N397" s="523"/>
      <c r="O397" s="523"/>
      <c r="P397" s="523"/>
      <c r="Q397" s="523"/>
      <c r="R397" s="523"/>
      <c r="S397" s="523"/>
      <c r="T397" s="523"/>
      <c r="U397" s="523"/>
      <c r="V397" s="523"/>
      <c r="W397" s="523"/>
      <c r="X397" s="523"/>
      <c r="Y397" s="523"/>
      <c r="Z397" s="523"/>
    </row>
    <row r="398" spans="1:26" ht="15.75" customHeight="1">
      <c r="A398" s="523"/>
      <c r="B398" s="523"/>
      <c r="C398" s="523"/>
      <c r="D398" s="523"/>
      <c r="E398" s="523"/>
      <c r="F398" s="523"/>
      <c r="G398" s="523"/>
      <c r="H398" s="524"/>
      <c r="I398" s="523"/>
      <c r="J398" s="523"/>
      <c r="K398" s="523"/>
      <c r="L398" s="523"/>
      <c r="M398" s="523"/>
      <c r="N398" s="523"/>
      <c r="O398" s="523"/>
      <c r="P398" s="523"/>
      <c r="Q398" s="523"/>
      <c r="R398" s="523"/>
      <c r="S398" s="523"/>
      <c r="T398" s="523"/>
      <c r="U398" s="523"/>
      <c r="V398" s="523"/>
      <c r="W398" s="523"/>
      <c r="X398" s="523"/>
      <c r="Y398" s="523"/>
      <c r="Z398" s="523"/>
    </row>
    <row r="399" spans="1:26" ht="15.75" customHeight="1">
      <c r="A399" s="523"/>
      <c r="B399" s="523"/>
      <c r="C399" s="523"/>
      <c r="D399" s="523"/>
      <c r="E399" s="523"/>
      <c r="F399" s="523"/>
      <c r="G399" s="523"/>
      <c r="H399" s="524"/>
      <c r="I399" s="523"/>
      <c r="J399" s="523"/>
      <c r="K399" s="523"/>
      <c r="L399" s="523"/>
      <c r="M399" s="523"/>
      <c r="N399" s="523"/>
      <c r="O399" s="523"/>
      <c r="P399" s="523"/>
      <c r="Q399" s="523"/>
      <c r="R399" s="523"/>
      <c r="S399" s="523"/>
      <c r="T399" s="523"/>
      <c r="U399" s="523"/>
      <c r="V399" s="523"/>
      <c r="W399" s="523"/>
      <c r="X399" s="523"/>
      <c r="Y399" s="523"/>
      <c r="Z399" s="523"/>
    </row>
    <row r="400" spans="1:26" ht="15.75" customHeight="1">
      <c r="A400" s="523"/>
      <c r="B400" s="523"/>
      <c r="C400" s="523"/>
      <c r="D400" s="523"/>
      <c r="E400" s="523"/>
      <c r="F400" s="523"/>
      <c r="G400" s="523"/>
      <c r="H400" s="524"/>
      <c r="I400" s="523"/>
      <c r="J400" s="523"/>
      <c r="K400" s="523"/>
      <c r="L400" s="523"/>
      <c r="M400" s="523"/>
      <c r="N400" s="523"/>
      <c r="O400" s="523"/>
      <c r="P400" s="523"/>
      <c r="Q400" s="523"/>
      <c r="R400" s="523"/>
      <c r="S400" s="523"/>
      <c r="T400" s="523"/>
      <c r="U400" s="523"/>
      <c r="V400" s="523"/>
      <c r="W400" s="523"/>
      <c r="X400" s="523"/>
      <c r="Y400" s="523"/>
      <c r="Z400" s="523"/>
    </row>
    <row r="401" spans="1:26" ht="15.75" customHeight="1">
      <c r="A401" s="523"/>
      <c r="B401" s="523"/>
      <c r="C401" s="523"/>
      <c r="D401" s="523"/>
      <c r="E401" s="523"/>
      <c r="F401" s="523"/>
      <c r="G401" s="523"/>
      <c r="H401" s="524"/>
      <c r="I401" s="523"/>
      <c r="J401" s="523"/>
      <c r="K401" s="523"/>
      <c r="L401" s="523"/>
      <c r="M401" s="523"/>
      <c r="N401" s="523"/>
      <c r="O401" s="523"/>
      <c r="P401" s="523"/>
      <c r="Q401" s="523"/>
      <c r="R401" s="523"/>
      <c r="S401" s="523"/>
      <c r="T401" s="523"/>
      <c r="U401" s="523"/>
      <c r="V401" s="523"/>
      <c r="W401" s="523"/>
      <c r="X401" s="523"/>
      <c r="Y401" s="523"/>
      <c r="Z401" s="523"/>
    </row>
    <row r="402" spans="1:26" ht="15.75" customHeight="1">
      <c r="A402" s="523"/>
      <c r="B402" s="523"/>
      <c r="C402" s="523"/>
      <c r="D402" s="523"/>
      <c r="E402" s="523"/>
      <c r="F402" s="523"/>
      <c r="G402" s="523"/>
      <c r="H402" s="524"/>
      <c r="I402" s="523"/>
      <c r="J402" s="523"/>
      <c r="K402" s="523"/>
      <c r="L402" s="523"/>
      <c r="M402" s="523"/>
      <c r="N402" s="523"/>
      <c r="O402" s="523"/>
      <c r="P402" s="523"/>
      <c r="Q402" s="523"/>
      <c r="R402" s="523"/>
      <c r="S402" s="523"/>
      <c r="T402" s="523"/>
      <c r="U402" s="523"/>
      <c r="V402" s="523"/>
      <c r="W402" s="523"/>
      <c r="X402" s="523"/>
      <c r="Y402" s="523"/>
      <c r="Z402" s="523"/>
    </row>
    <row r="403" spans="1:26" ht="15.75" customHeight="1">
      <c r="A403" s="523"/>
      <c r="B403" s="523"/>
      <c r="C403" s="523"/>
      <c r="D403" s="523"/>
      <c r="E403" s="523"/>
      <c r="F403" s="523"/>
      <c r="G403" s="523"/>
      <c r="H403" s="524"/>
      <c r="I403" s="523"/>
      <c r="J403" s="523"/>
      <c r="K403" s="523"/>
      <c r="L403" s="523"/>
      <c r="M403" s="523"/>
      <c r="N403" s="523"/>
      <c r="O403" s="523"/>
      <c r="P403" s="523"/>
      <c r="Q403" s="523"/>
      <c r="R403" s="523"/>
      <c r="S403" s="523"/>
      <c r="T403" s="523"/>
      <c r="U403" s="523"/>
      <c r="V403" s="523"/>
      <c r="W403" s="523"/>
      <c r="X403" s="523"/>
      <c r="Y403" s="523"/>
      <c r="Z403" s="523"/>
    </row>
    <row r="404" spans="1:26" ht="15.75" customHeight="1">
      <c r="A404" s="523"/>
      <c r="B404" s="523"/>
      <c r="C404" s="523"/>
      <c r="D404" s="523"/>
      <c r="E404" s="523"/>
      <c r="F404" s="523"/>
      <c r="G404" s="523"/>
      <c r="H404" s="524"/>
      <c r="I404" s="523"/>
      <c r="J404" s="523"/>
      <c r="K404" s="523"/>
      <c r="L404" s="523"/>
      <c r="M404" s="523"/>
      <c r="N404" s="523"/>
      <c r="O404" s="523"/>
      <c r="P404" s="523"/>
      <c r="Q404" s="523"/>
      <c r="R404" s="523"/>
      <c r="S404" s="523"/>
      <c r="T404" s="523"/>
      <c r="U404" s="523"/>
      <c r="V404" s="523"/>
      <c r="W404" s="523"/>
      <c r="X404" s="523"/>
      <c r="Y404" s="523"/>
      <c r="Z404" s="523"/>
    </row>
    <row r="405" spans="1:26" ht="15.75" customHeight="1">
      <c r="A405" s="523"/>
      <c r="B405" s="523"/>
      <c r="C405" s="523"/>
      <c r="D405" s="523"/>
      <c r="E405" s="523"/>
      <c r="F405" s="523"/>
      <c r="G405" s="523"/>
      <c r="H405" s="524"/>
      <c r="I405" s="523"/>
      <c r="J405" s="523"/>
      <c r="K405" s="523"/>
      <c r="L405" s="523"/>
      <c r="M405" s="523"/>
      <c r="N405" s="523"/>
      <c r="O405" s="523"/>
      <c r="P405" s="523"/>
      <c r="Q405" s="523"/>
      <c r="R405" s="523"/>
      <c r="S405" s="523"/>
      <c r="T405" s="523"/>
      <c r="U405" s="523"/>
      <c r="V405" s="523"/>
      <c r="W405" s="523"/>
      <c r="X405" s="523"/>
      <c r="Y405" s="523"/>
      <c r="Z405" s="523"/>
    </row>
    <row r="406" spans="1:26" ht="15.75" customHeight="1">
      <c r="A406" s="523"/>
      <c r="B406" s="523"/>
      <c r="C406" s="523"/>
      <c r="D406" s="523"/>
      <c r="E406" s="523"/>
      <c r="F406" s="523"/>
      <c r="G406" s="523"/>
      <c r="H406" s="524"/>
      <c r="I406" s="523"/>
      <c r="J406" s="523"/>
      <c r="K406" s="523"/>
      <c r="L406" s="523"/>
      <c r="M406" s="523"/>
      <c r="N406" s="523"/>
      <c r="O406" s="523"/>
      <c r="P406" s="523"/>
      <c r="Q406" s="523"/>
      <c r="R406" s="523"/>
      <c r="S406" s="523"/>
      <c r="T406" s="523"/>
      <c r="U406" s="523"/>
      <c r="V406" s="523"/>
      <c r="W406" s="523"/>
      <c r="X406" s="523"/>
      <c r="Y406" s="523"/>
      <c r="Z406" s="523"/>
    </row>
    <row r="407" spans="1:26" ht="15.75" customHeight="1">
      <c r="A407" s="523"/>
      <c r="B407" s="523"/>
      <c r="C407" s="523"/>
      <c r="D407" s="523"/>
      <c r="E407" s="523"/>
      <c r="F407" s="523"/>
      <c r="G407" s="523"/>
      <c r="H407" s="524"/>
      <c r="I407" s="523"/>
      <c r="J407" s="523"/>
      <c r="K407" s="523"/>
      <c r="L407" s="523"/>
      <c r="M407" s="523"/>
      <c r="N407" s="523"/>
      <c r="O407" s="523"/>
      <c r="P407" s="523"/>
      <c r="Q407" s="523"/>
      <c r="R407" s="523"/>
      <c r="S407" s="523"/>
      <c r="T407" s="523"/>
      <c r="U407" s="523"/>
      <c r="V407" s="523"/>
      <c r="W407" s="523"/>
      <c r="X407" s="523"/>
      <c r="Y407" s="523"/>
      <c r="Z407" s="523"/>
    </row>
    <row r="408" spans="1:26" ht="15.75" customHeight="1">
      <c r="A408" s="523"/>
      <c r="B408" s="523"/>
      <c r="C408" s="523"/>
      <c r="D408" s="523"/>
      <c r="E408" s="523"/>
      <c r="F408" s="523"/>
      <c r="G408" s="523"/>
      <c r="H408" s="524"/>
      <c r="I408" s="523"/>
      <c r="J408" s="523"/>
      <c r="K408" s="523"/>
      <c r="L408" s="523"/>
      <c r="M408" s="523"/>
      <c r="N408" s="523"/>
      <c r="O408" s="523"/>
      <c r="P408" s="523"/>
      <c r="Q408" s="523"/>
      <c r="R408" s="523"/>
      <c r="S408" s="523"/>
      <c r="T408" s="523"/>
      <c r="U408" s="523"/>
      <c r="V408" s="523"/>
      <c r="W408" s="523"/>
      <c r="X408" s="523"/>
      <c r="Y408" s="523"/>
      <c r="Z408" s="523"/>
    </row>
    <row r="409" spans="1:26" ht="15.75" customHeight="1">
      <c r="A409" s="523"/>
      <c r="B409" s="523"/>
      <c r="C409" s="523"/>
      <c r="D409" s="523"/>
      <c r="E409" s="523"/>
      <c r="F409" s="523"/>
      <c r="G409" s="523"/>
      <c r="H409" s="524"/>
      <c r="I409" s="523"/>
      <c r="J409" s="523"/>
      <c r="K409" s="523"/>
      <c r="L409" s="523"/>
      <c r="M409" s="523"/>
      <c r="N409" s="523"/>
      <c r="O409" s="523"/>
      <c r="P409" s="523"/>
      <c r="Q409" s="523"/>
      <c r="R409" s="523"/>
      <c r="S409" s="523"/>
      <c r="T409" s="523"/>
      <c r="U409" s="523"/>
      <c r="V409" s="523"/>
      <c r="W409" s="523"/>
      <c r="X409" s="523"/>
      <c r="Y409" s="523"/>
      <c r="Z409" s="523"/>
    </row>
    <row r="410" spans="1:26" ht="15.75" customHeight="1">
      <c r="A410" s="523"/>
      <c r="B410" s="523"/>
      <c r="C410" s="523"/>
      <c r="D410" s="523"/>
      <c r="E410" s="523"/>
      <c r="F410" s="523"/>
      <c r="G410" s="523"/>
      <c r="H410" s="524"/>
      <c r="I410" s="523"/>
      <c r="J410" s="523"/>
      <c r="K410" s="523"/>
      <c r="L410" s="523"/>
      <c r="M410" s="523"/>
      <c r="N410" s="523"/>
      <c r="O410" s="523"/>
      <c r="P410" s="523"/>
      <c r="Q410" s="523"/>
      <c r="R410" s="523"/>
      <c r="S410" s="523"/>
      <c r="T410" s="523"/>
      <c r="U410" s="523"/>
      <c r="V410" s="523"/>
      <c r="W410" s="523"/>
      <c r="X410" s="523"/>
      <c r="Y410" s="523"/>
      <c r="Z410" s="523"/>
    </row>
    <row r="411" spans="1:26" ht="15.75" customHeight="1">
      <c r="A411" s="523"/>
      <c r="B411" s="523"/>
      <c r="C411" s="523"/>
      <c r="D411" s="523"/>
      <c r="E411" s="523"/>
      <c r="F411" s="523"/>
      <c r="G411" s="523"/>
      <c r="H411" s="524"/>
      <c r="I411" s="523"/>
      <c r="J411" s="523"/>
      <c r="K411" s="523"/>
      <c r="L411" s="523"/>
      <c r="M411" s="523"/>
      <c r="N411" s="523"/>
      <c r="O411" s="523"/>
      <c r="P411" s="523"/>
      <c r="Q411" s="523"/>
      <c r="R411" s="523"/>
      <c r="S411" s="523"/>
      <c r="T411" s="523"/>
      <c r="U411" s="523"/>
      <c r="V411" s="523"/>
      <c r="W411" s="523"/>
      <c r="X411" s="523"/>
      <c r="Y411" s="523"/>
      <c r="Z411" s="523"/>
    </row>
    <row r="412" spans="1:26" ht="15.75" customHeight="1">
      <c r="A412" s="523"/>
      <c r="B412" s="523"/>
      <c r="C412" s="523"/>
      <c r="D412" s="523"/>
      <c r="E412" s="523"/>
      <c r="F412" s="523"/>
      <c r="G412" s="523"/>
      <c r="H412" s="524"/>
      <c r="I412" s="523"/>
      <c r="J412" s="523"/>
      <c r="K412" s="523"/>
      <c r="L412" s="523"/>
      <c r="M412" s="523"/>
      <c r="N412" s="523"/>
      <c r="O412" s="523"/>
      <c r="P412" s="523"/>
      <c r="Q412" s="523"/>
      <c r="R412" s="523"/>
      <c r="S412" s="523"/>
      <c r="T412" s="523"/>
      <c r="U412" s="523"/>
      <c r="V412" s="523"/>
      <c r="W412" s="523"/>
      <c r="X412" s="523"/>
      <c r="Y412" s="523"/>
      <c r="Z412" s="523"/>
    </row>
    <row r="413" spans="1:26" ht="15.75" customHeight="1">
      <c r="A413" s="523"/>
      <c r="B413" s="523"/>
      <c r="C413" s="523"/>
      <c r="D413" s="523"/>
      <c r="E413" s="523"/>
      <c r="F413" s="523"/>
      <c r="G413" s="523"/>
      <c r="H413" s="524"/>
      <c r="I413" s="523"/>
      <c r="J413" s="523"/>
      <c r="K413" s="523"/>
      <c r="L413" s="523"/>
      <c r="M413" s="523"/>
      <c r="N413" s="523"/>
      <c r="O413" s="523"/>
      <c r="P413" s="523"/>
      <c r="Q413" s="523"/>
      <c r="R413" s="523"/>
      <c r="S413" s="523"/>
      <c r="T413" s="523"/>
      <c r="U413" s="523"/>
      <c r="V413" s="523"/>
      <c r="W413" s="523"/>
      <c r="X413" s="523"/>
      <c r="Y413" s="523"/>
      <c r="Z413" s="523"/>
    </row>
    <row r="414" spans="1:26" ht="15.75" customHeight="1">
      <c r="A414" s="523"/>
      <c r="B414" s="523"/>
      <c r="C414" s="523"/>
      <c r="D414" s="523"/>
      <c r="E414" s="523"/>
      <c r="F414" s="523"/>
      <c r="G414" s="523"/>
      <c r="H414" s="524"/>
      <c r="I414" s="523"/>
      <c r="J414" s="523"/>
      <c r="K414" s="523"/>
      <c r="L414" s="523"/>
      <c r="M414" s="523"/>
      <c r="N414" s="523"/>
      <c r="O414" s="523"/>
      <c r="P414" s="523"/>
      <c r="Q414" s="523"/>
      <c r="R414" s="523"/>
      <c r="S414" s="523"/>
      <c r="T414" s="523"/>
      <c r="U414" s="523"/>
      <c r="V414" s="523"/>
      <c r="W414" s="523"/>
      <c r="X414" s="523"/>
      <c r="Y414" s="523"/>
      <c r="Z414" s="523"/>
    </row>
    <row r="415" spans="1:26" ht="15.75" customHeight="1">
      <c r="A415" s="523"/>
      <c r="B415" s="523"/>
      <c r="C415" s="523"/>
      <c r="D415" s="523"/>
      <c r="E415" s="523"/>
      <c r="F415" s="523"/>
      <c r="G415" s="523"/>
      <c r="H415" s="524"/>
      <c r="I415" s="523"/>
      <c r="J415" s="523"/>
      <c r="K415" s="523"/>
      <c r="L415" s="523"/>
      <c r="M415" s="523"/>
      <c r="N415" s="523"/>
      <c r="O415" s="523"/>
      <c r="P415" s="523"/>
      <c r="Q415" s="523"/>
      <c r="R415" s="523"/>
      <c r="S415" s="523"/>
      <c r="T415" s="523"/>
      <c r="U415" s="523"/>
      <c r="V415" s="523"/>
      <c r="W415" s="523"/>
      <c r="X415" s="523"/>
      <c r="Y415" s="523"/>
      <c r="Z415" s="523"/>
    </row>
    <row r="416" spans="1:26" ht="15.75" customHeight="1">
      <c r="A416" s="523"/>
      <c r="B416" s="523"/>
      <c r="C416" s="523"/>
      <c r="D416" s="523"/>
      <c r="E416" s="523"/>
      <c r="F416" s="523"/>
      <c r="G416" s="523"/>
      <c r="H416" s="524"/>
      <c r="I416" s="523"/>
      <c r="J416" s="523"/>
      <c r="K416" s="523"/>
      <c r="L416" s="523"/>
      <c r="M416" s="523"/>
      <c r="N416" s="523"/>
      <c r="O416" s="523"/>
      <c r="P416" s="523"/>
      <c r="Q416" s="523"/>
      <c r="R416" s="523"/>
      <c r="S416" s="523"/>
      <c r="T416" s="523"/>
      <c r="U416" s="523"/>
      <c r="V416" s="523"/>
      <c r="W416" s="523"/>
      <c r="X416" s="523"/>
      <c r="Y416" s="523"/>
      <c r="Z416" s="523"/>
    </row>
    <row r="417" spans="1:26" ht="15.75" customHeight="1">
      <c r="A417" s="523"/>
      <c r="B417" s="523"/>
      <c r="C417" s="523"/>
      <c r="D417" s="523"/>
      <c r="E417" s="523"/>
      <c r="F417" s="523"/>
      <c r="G417" s="523"/>
      <c r="H417" s="524"/>
      <c r="I417" s="523"/>
      <c r="J417" s="523"/>
      <c r="K417" s="523"/>
      <c r="L417" s="523"/>
      <c r="M417" s="523"/>
      <c r="N417" s="523"/>
      <c r="O417" s="523"/>
      <c r="P417" s="523"/>
      <c r="Q417" s="523"/>
      <c r="R417" s="523"/>
      <c r="S417" s="523"/>
      <c r="T417" s="523"/>
      <c r="U417" s="523"/>
      <c r="V417" s="523"/>
      <c r="W417" s="523"/>
      <c r="X417" s="523"/>
      <c r="Y417" s="523"/>
      <c r="Z417" s="523"/>
    </row>
    <row r="418" spans="1:26" ht="15.75" customHeight="1">
      <c r="A418" s="523"/>
      <c r="B418" s="523"/>
      <c r="C418" s="523"/>
      <c r="D418" s="523"/>
      <c r="E418" s="523"/>
      <c r="F418" s="523"/>
      <c r="G418" s="523"/>
      <c r="H418" s="524"/>
      <c r="I418" s="523"/>
      <c r="J418" s="523"/>
      <c r="K418" s="523"/>
      <c r="L418" s="523"/>
      <c r="M418" s="523"/>
      <c r="N418" s="523"/>
      <c r="O418" s="523"/>
      <c r="P418" s="523"/>
      <c r="Q418" s="523"/>
      <c r="R418" s="523"/>
      <c r="S418" s="523"/>
      <c r="T418" s="523"/>
      <c r="U418" s="523"/>
      <c r="V418" s="523"/>
      <c r="W418" s="523"/>
      <c r="X418" s="523"/>
      <c r="Y418" s="523"/>
      <c r="Z418" s="523"/>
    </row>
    <row r="419" spans="1:26" ht="15.75" customHeight="1">
      <c r="A419" s="523"/>
      <c r="B419" s="523"/>
      <c r="C419" s="523"/>
      <c r="D419" s="523"/>
      <c r="E419" s="523"/>
      <c r="F419" s="523"/>
      <c r="G419" s="523"/>
      <c r="H419" s="524"/>
      <c r="I419" s="523"/>
      <c r="J419" s="523"/>
      <c r="K419" s="523"/>
      <c r="L419" s="523"/>
      <c r="M419" s="523"/>
      <c r="N419" s="523"/>
      <c r="O419" s="523"/>
      <c r="P419" s="523"/>
      <c r="Q419" s="523"/>
      <c r="R419" s="523"/>
      <c r="S419" s="523"/>
      <c r="T419" s="523"/>
      <c r="U419" s="523"/>
      <c r="V419" s="523"/>
      <c r="W419" s="523"/>
      <c r="X419" s="523"/>
      <c r="Y419" s="523"/>
      <c r="Z419" s="523"/>
    </row>
    <row r="420" spans="1:26" ht="15.75" customHeight="1">
      <c r="A420" s="523"/>
      <c r="B420" s="523"/>
      <c r="C420" s="523"/>
      <c r="D420" s="523"/>
      <c r="E420" s="523"/>
      <c r="F420" s="523"/>
      <c r="G420" s="523"/>
      <c r="H420" s="524"/>
      <c r="I420" s="523"/>
      <c r="J420" s="523"/>
      <c r="K420" s="523"/>
      <c r="L420" s="523"/>
      <c r="M420" s="523"/>
      <c r="N420" s="523"/>
      <c r="O420" s="523"/>
      <c r="P420" s="523"/>
      <c r="Q420" s="523"/>
      <c r="R420" s="523"/>
      <c r="S420" s="523"/>
      <c r="T420" s="523"/>
      <c r="U420" s="523"/>
      <c r="V420" s="523"/>
      <c r="W420" s="523"/>
      <c r="X420" s="523"/>
      <c r="Y420" s="523"/>
      <c r="Z420" s="523"/>
    </row>
    <row r="421" spans="1:26" ht="15.75" customHeight="1">
      <c r="A421" s="523"/>
      <c r="B421" s="523"/>
      <c r="C421" s="523"/>
      <c r="D421" s="523"/>
      <c r="E421" s="523"/>
      <c r="F421" s="523"/>
      <c r="G421" s="523"/>
      <c r="H421" s="524"/>
      <c r="I421" s="523"/>
      <c r="J421" s="523"/>
      <c r="K421" s="523"/>
      <c r="L421" s="523"/>
      <c r="M421" s="523"/>
      <c r="N421" s="523"/>
      <c r="O421" s="523"/>
      <c r="P421" s="523"/>
      <c r="Q421" s="523"/>
      <c r="R421" s="523"/>
      <c r="S421" s="523"/>
      <c r="T421" s="523"/>
      <c r="U421" s="523"/>
      <c r="V421" s="523"/>
      <c r="W421" s="523"/>
      <c r="X421" s="523"/>
      <c r="Y421" s="523"/>
      <c r="Z421" s="523"/>
    </row>
    <row r="422" spans="1:26" ht="15.75" customHeight="1">
      <c r="A422" s="523"/>
      <c r="B422" s="523"/>
      <c r="C422" s="523"/>
      <c r="D422" s="523"/>
      <c r="E422" s="523"/>
      <c r="F422" s="523"/>
      <c r="G422" s="523"/>
      <c r="H422" s="524"/>
      <c r="I422" s="523"/>
      <c r="J422" s="523"/>
      <c r="K422" s="523"/>
      <c r="L422" s="523"/>
      <c r="M422" s="523"/>
      <c r="N422" s="523"/>
      <c r="O422" s="523"/>
      <c r="P422" s="523"/>
      <c r="Q422" s="523"/>
      <c r="R422" s="523"/>
      <c r="S422" s="523"/>
      <c r="T422" s="523"/>
      <c r="U422" s="523"/>
      <c r="V422" s="523"/>
      <c r="W422" s="523"/>
      <c r="X422" s="523"/>
      <c r="Y422" s="523"/>
      <c r="Z422" s="523"/>
    </row>
    <row r="423" spans="1:26" ht="15.75" customHeight="1">
      <c r="A423" s="523"/>
      <c r="B423" s="523"/>
      <c r="C423" s="523"/>
      <c r="D423" s="523"/>
      <c r="E423" s="523"/>
      <c r="F423" s="523"/>
      <c r="G423" s="523"/>
      <c r="H423" s="524"/>
      <c r="I423" s="523"/>
      <c r="J423" s="523"/>
      <c r="K423" s="523"/>
      <c r="L423" s="523"/>
      <c r="M423" s="523"/>
      <c r="N423" s="523"/>
      <c r="O423" s="523"/>
      <c r="P423" s="523"/>
      <c r="Q423" s="523"/>
      <c r="R423" s="523"/>
      <c r="S423" s="523"/>
      <c r="T423" s="523"/>
      <c r="U423" s="523"/>
      <c r="V423" s="523"/>
      <c r="W423" s="523"/>
      <c r="X423" s="523"/>
      <c r="Y423" s="523"/>
      <c r="Z423" s="523"/>
    </row>
    <row r="424" spans="1:26" ht="15.75" customHeight="1">
      <c r="A424" s="523"/>
      <c r="B424" s="523"/>
      <c r="C424" s="523"/>
      <c r="D424" s="523"/>
      <c r="E424" s="523"/>
      <c r="F424" s="523"/>
      <c r="G424" s="523"/>
      <c r="H424" s="524"/>
      <c r="I424" s="523"/>
      <c r="J424" s="523"/>
      <c r="K424" s="523"/>
      <c r="L424" s="523"/>
      <c r="M424" s="523"/>
      <c r="N424" s="523"/>
      <c r="O424" s="523"/>
      <c r="P424" s="523"/>
      <c r="Q424" s="523"/>
      <c r="R424" s="523"/>
      <c r="S424" s="523"/>
      <c r="T424" s="523"/>
      <c r="U424" s="523"/>
      <c r="V424" s="523"/>
      <c r="W424" s="523"/>
      <c r="X424" s="523"/>
      <c r="Y424" s="523"/>
      <c r="Z424" s="523"/>
    </row>
    <row r="425" spans="1:26" ht="15.75" customHeight="1">
      <c r="A425" s="523"/>
      <c r="B425" s="523"/>
      <c r="C425" s="523"/>
      <c r="D425" s="523"/>
      <c r="E425" s="523"/>
      <c r="F425" s="523"/>
      <c r="G425" s="523"/>
      <c r="H425" s="524"/>
      <c r="I425" s="523"/>
      <c r="J425" s="523"/>
      <c r="K425" s="523"/>
      <c r="L425" s="523"/>
      <c r="M425" s="523"/>
      <c r="N425" s="523"/>
      <c r="O425" s="523"/>
      <c r="P425" s="523"/>
      <c r="Q425" s="523"/>
      <c r="R425" s="523"/>
      <c r="S425" s="523"/>
      <c r="T425" s="523"/>
      <c r="U425" s="523"/>
      <c r="V425" s="523"/>
      <c r="W425" s="523"/>
      <c r="X425" s="523"/>
      <c r="Y425" s="523"/>
      <c r="Z425" s="523"/>
    </row>
    <row r="426" spans="1:26" ht="15.75" customHeight="1">
      <c r="A426" s="523"/>
      <c r="B426" s="523"/>
      <c r="C426" s="523"/>
      <c r="D426" s="523"/>
      <c r="E426" s="523"/>
      <c r="F426" s="523"/>
      <c r="G426" s="523"/>
      <c r="H426" s="524"/>
      <c r="I426" s="523"/>
      <c r="J426" s="523"/>
      <c r="K426" s="523"/>
      <c r="L426" s="523"/>
      <c r="M426" s="523"/>
      <c r="N426" s="523"/>
      <c r="O426" s="523"/>
      <c r="P426" s="523"/>
      <c r="Q426" s="523"/>
      <c r="R426" s="523"/>
      <c r="S426" s="523"/>
      <c r="T426" s="523"/>
      <c r="U426" s="523"/>
      <c r="V426" s="523"/>
      <c r="W426" s="523"/>
      <c r="X426" s="523"/>
      <c r="Y426" s="523"/>
      <c r="Z426" s="523"/>
    </row>
    <row r="427" spans="1:26" ht="15.75" customHeight="1">
      <c r="A427" s="523"/>
      <c r="B427" s="523"/>
      <c r="C427" s="523"/>
      <c r="D427" s="523"/>
      <c r="E427" s="523"/>
      <c r="F427" s="523"/>
      <c r="G427" s="523"/>
      <c r="H427" s="524"/>
      <c r="I427" s="523"/>
      <c r="J427" s="523"/>
      <c r="K427" s="523"/>
      <c r="L427" s="523"/>
      <c r="M427" s="523"/>
      <c r="N427" s="523"/>
      <c r="O427" s="523"/>
      <c r="P427" s="523"/>
      <c r="Q427" s="523"/>
      <c r="R427" s="523"/>
      <c r="S427" s="523"/>
      <c r="T427" s="523"/>
      <c r="U427" s="523"/>
      <c r="V427" s="523"/>
      <c r="W427" s="523"/>
      <c r="X427" s="523"/>
      <c r="Y427" s="523"/>
      <c r="Z427" s="523"/>
    </row>
    <row r="428" spans="1:26" ht="15.75" customHeight="1">
      <c r="A428" s="523"/>
      <c r="B428" s="523"/>
      <c r="C428" s="523"/>
      <c r="D428" s="523"/>
      <c r="E428" s="523"/>
      <c r="F428" s="523"/>
      <c r="G428" s="523"/>
      <c r="H428" s="524"/>
      <c r="I428" s="523"/>
      <c r="J428" s="523"/>
      <c r="K428" s="523"/>
      <c r="L428" s="523"/>
      <c r="M428" s="523"/>
      <c r="N428" s="523"/>
      <c r="O428" s="523"/>
      <c r="P428" s="523"/>
      <c r="Q428" s="523"/>
      <c r="R428" s="523"/>
      <c r="S428" s="523"/>
      <c r="T428" s="523"/>
      <c r="U428" s="523"/>
      <c r="V428" s="523"/>
      <c r="W428" s="523"/>
      <c r="X428" s="523"/>
      <c r="Y428" s="523"/>
      <c r="Z428" s="523"/>
    </row>
    <row r="429" spans="1:26" ht="15.75" customHeight="1">
      <c r="A429" s="523"/>
      <c r="B429" s="523"/>
      <c r="C429" s="523"/>
      <c r="D429" s="523"/>
      <c r="E429" s="523"/>
      <c r="F429" s="523"/>
      <c r="G429" s="523"/>
      <c r="H429" s="524"/>
      <c r="I429" s="523"/>
      <c r="J429" s="523"/>
      <c r="K429" s="523"/>
      <c r="L429" s="523"/>
      <c r="M429" s="523"/>
      <c r="N429" s="523"/>
      <c r="O429" s="523"/>
      <c r="P429" s="523"/>
      <c r="Q429" s="523"/>
      <c r="R429" s="523"/>
      <c r="S429" s="523"/>
      <c r="T429" s="523"/>
      <c r="U429" s="523"/>
      <c r="V429" s="523"/>
      <c r="W429" s="523"/>
      <c r="X429" s="523"/>
      <c r="Y429" s="523"/>
      <c r="Z429" s="523"/>
    </row>
    <row r="430" spans="1:26" ht="15.75" customHeight="1">
      <c r="A430" s="523"/>
      <c r="B430" s="523"/>
      <c r="C430" s="523"/>
      <c r="D430" s="523"/>
      <c r="E430" s="523"/>
      <c r="F430" s="523"/>
      <c r="G430" s="523"/>
      <c r="H430" s="524"/>
      <c r="I430" s="523"/>
      <c r="J430" s="523"/>
      <c r="K430" s="523"/>
      <c r="L430" s="523"/>
      <c r="M430" s="523"/>
      <c r="N430" s="523"/>
      <c r="O430" s="523"/>
      <c r="P430" s="523"/>
      <c r="Q430" s="523"/>
      <c r="R430" s="523"/>
      <c r="S430" s="523"/>
      <c r="T430" s="523"/>
      <c r="U430" s="523"/>
      <c r="V430" s="523"/>
      <c r="W430" s="523"/>
      <c r="X430" s="523"/>
      <c r="Y430" s="523"/>
      <c r="Z430" s="523"/>
    </row>
    <row r="431" spans="1:26" ht="15.75" customHeight="1">
      <c r="A431" s="523"/>
      <c r="B431" s="523"/>
      <c r="C431" s="523"/>
      <c r="D431" s="523"/>
      <c r="E431" s="523"/>
      <c r="F431" s="523"/>
      <c r="G431" s="523"/>
      <c r="H431" s="524"/>
      <c r="I431" s="523"/>
      <c r="J431" s="523"/>
      <c r="K431" s="523"/>
      <c r="L431" s="523"/>
      <c r="M431" s="523"/>
      <c r="N431" s="523"/>
      <c r="O431" s="523"/>
      <c r="P431" s="523"/>
      <c r="Q431" s="523"/>
      <c r="R431" s="523"/>
      <c r="S431" s="523"/>
      <c r="T431" s="523"/>
      <c r="U431" s="523"/>
      <c r="V431" s="523"/>
      <c r="W431" s="523"/>
      <c r="X431" s="523"/>
      <c r="Y431" s="523"/>
      <c r="Z431" s="523"/>
    </row>
    <row r="432" spans="1:26" ht="15.75" customHeight="1">
      <c r="A432" s="523"/>
      <c r="B432" s="523"/>
      <c r="C432" s="523"/>
      <c r="D432" s="523"/>
      <c r="E432" s="523"/>
      <c r="F432" s="523"/>
      <c r="G432" s="523"/>
      <c r="H432" s="524"/>
      <c r="I432" s="523"/>
      <c r="J432" s="523"/>
      <c r="K432" s="523"/>
      <c r="L432" s="523"/>
      <c r="M432" s="523"/>
      <c r="N432" s="523"/>
      <c r="O432" s="523"/>
      <c r="P432" s="523"/>
      <c r="Q432" s="523"/>
      <c r="R432" s="523"/>
      <c r="S432" s="523"/>
      <c r="T432" s="523"/>
      <c r="U432" s="523"/>
      <c r="V432" s="523"/>
      <c r="W432" s="523"/>
      <c r="X432" s="523"/>
      <c r="Y432" s="523"/>
      <c r="Z432" s="523"/>
    </row>
    <row r="433" spans="1:26" ht="15.75" customHeight="1">
      <c r="A433" s="523"/>
      <c r="B433" s="523"/>
      <c r="C433" s="523"/>
      <c r="D433" s="523"/>
      <c r="E433" s="523"/>
      <c r="F433" s="523"/>
      <c r="G433" s="523"/>
      <c r="H433" s="524"/>
      <c r="I433" s="523"/>
      <c r="J433" s="523"/>
      <c r="K433" s="523"/>
      <c r="L433" s="523"/>
      <c r="M433" s="523"/>
      <c r="N433" s="523"/>
      <c r="O433" s="523"/>
      <c r="P433" s="523"/>
      <c r="Q433" s="523"/>
      <c r="R433" s="523"/>
      <c r="S433" s="523"/>
      <c r="T433" s="523"/>
      <c r="U433" s="523"/>
      <c r="V433" s="523"/>
      <c r="W433" s="523"/>
      <c r="X433" s="523"/>
      <c r="Y433" s="523"/>
      <c r="Z433" s="523"/>
    </row>
    <row r="434" spans="1:26" ht="15.75" customHeight="1">
      <c r="A434" s="523"/>
      <c r="B434" s="523"/>
      <c r="C434" s="523"/>
      <c r="D434" s="523"/>
      <c r="E434" s="523"/>
      <c r="F434" s="523"/>
      <c r="G434" s="523"/>
      <c r="H434" s="524"/>
      <c r="I434" s="523"/>
      <c r="J434" s="523"/>
      <c r="K434" s="523"/>
      <c r="L434" s="523"/>
      <c r="M434" s="523"/>
      <c r="N434" s="523"/>
      <c r="O434" s="523"/>
      <c r="P434" s="523"/>
      <c r="Q434" s="523"/>
      <c r="R434" s="523"/>
      <c r="S434" s="523"/>
      <c r="T434" s="523"/>
      <c r="U434" s="523"/>
      <c r="V434" s="523"/>
      <c r="W434" s="523"/>
      <c r="X434" s="523"/>
      <c r="Y434" s="523"/>
      <c r="Z434" s="523"/>
    </row>
    <row r="435" spans="1:26" ht="15.75" customHeight="1">
      <c r="A435" s="523"/>
      <c r="B435" s="523"/>
      <c r="C435" s="523"/>
      <c r="D435" s="523"/>
      <c r="E435" s="523"/>
      <c r="F435" s="523"/>
      <c r="G435" s="523"/>
      <c r="H435" s="524"/>
      <c r="I435" s="523"/>
      <c r="J435" s="523"/>
      <c r="K435" s="523"/>
      <c r="L435" s="523"/>
      <c r="M435" s="523"/>
      <c r="N435" s="523"/>
      <c r="O435" s="523"/>
      <c r="P435" s="523"/>
      <c r="Q435" s="523"/>
      <c r="R435" s="523"/>
      <c r="S435" s="523"/>
      <c r="T435" s="523"/>
      <c r="U435" s="523"/>
      <c r="V435" s="523"/>
      <c r="W435" s="523"/>
      <c r="X435" s="523"/>
      <c r="Y435" s="523"/>
      <c r="Z435" s="523"/>
    </row>
    <row r="436" spans="1:26" ht="15.75" customHeight="1">
      <c r="A436" s="523"/>
      <c r="B436" s="523"/>
      <c r="C436" s="523"/>
      <c r="D436" s="523"/>
      <c r="E436" s="523"/>
      <c r="F436" s="523"/>
      <c r="G436" s="523"/>
      <c r="H436" s="524"/>
      <c r="I436" s="523"/>
      <c r="J436" s="523"/>
      <c r="K436" s="523"/>
      <c r="L436" s="523"/>
      <c r="M436" s="523"/>
      <c r="N436" s="523"/>
      <c r="O436" s="523"/>
      <c r="P436" s="523"/>
      <c r="Q436" s="523"/>
      <c r="R436" s="523"/>
      <c r="S436" s="523"/>
      <c r="T436" s="523"/>
      <c r="U436" s="523"/>
      <c r="V436" s="523"/>
      <c r="W436" s="523"/>
      <c r="X436" s="523"/>
      <c r="Y436" s="523"/>
      <c r="Z436" s="523"/>
    </row>
    <row r="437" spans="1:26" ht="15.75" customHeight="1">
      <c r="A437" s="523"/>
      <c r="B437" s="523"/>
      <c r="C437" s="523"/>
      <c r="D437" s="523"/>
      <c r="E437" s="523"/>
      <c r="F437" s="523"/>
      <c r="G437" s="523"/>
      <c r="H437" s="524"/>
      <c r="I437" s="523"/>
      <c r="J437" s="523"/>
      <c r="K437" s="523"/>
      <c r="L437" s="523"/>
      <c r="M437" s="523"/>
      <c r="N437" s="523"/>
      <c r="O437" s="523"/>
      <c r="P437" s="523"/>
      <c r="Q437" s="523"/>
      <c r="R437" s="523"/>
      <c r="S437" s="523"/>
      <c r="T437" s="523"/>
      <c r="U437" s="523"/>
      <c r="V437" s="523"/>
      <c r="W437" s="523"/>
      <c r="X437" s="523"/>
      <c r="Y437" s="523"/>
      <c r="Z437" s="523"/>
    </row>
    <row r="438" spans="1:26" ht="15.75" customHeight="1">
      <c r="A438" s="523"/>
      <c r="B438" s="523"/>
      <c r="C438" s="523"/>
      <c r="D438" s="523"/>
      <c r="E438" s="523"/>
      <c r="F438" s="523"/>
      <c r="G438" s="523"/>
      <c r="H438" s="524"/>
      <c r="I438" s="523"/>
      <c r="J438" s="523"/>
      <c r="K438" s="523"/>
      <c r="L438" s="523"/>
      <c r="M438" s="523"/>
      <c r="N438" s="523"/>
      <c r="O438" s="523"/>
      <c r="P438" s="523"/>
      <c r="Q438" s="523"/>
      <c r="R438" s="523"/>
      <c r="S438" s="523"/>
      <c r="T438" s="523"/>
      <c r="U438" s="523"/>
      <c r="V438" s="523"/>
      <c r="W438" s="523"/>
      <c r="X438" s="523"/>
      <c r="Y438" s="523"/>
      <c r="Z438" s="523"/>
    </row>
    <row r="439" spans="1:26" ht="15.75" customHeight="1">
      <c r="A439" s="523"/>
      <c r="B439" s="523"/>
      <c r="C439" s="523"/>
      <c r="D439" s="523"/>
      <c r="E439" s="523"/>
      <c r="F439" s="523"/>
      <c r="G439" s="523"/>
      <c r="H439" s="524"/>
      <c r="I439" s="523"/>
      <c r="J439" s="523"/>
      <c r="K439" s="523"/>
      <c r="L439" s="523"/>
      <c r="M439" s="523"/>
      <c r="N439" s="523"/>
      <c r="O439" s="523"/>
      <c r="P439" s="523"/>
      <c r="Q439" s="523"/>
      <c r="R439" s="523"/>
      <c r="S439" s="523"/>
      <c r="T439" s="523"/>
      <c r="U439" s="523"/>
      <c r="V439" s="523"/>
      <c r="W439" s="523"/>
      <c r="X439" s="523"/>
      <c r="Y439" s="523"/>
      <c r="Z439" s="523"/>
    </row>
    <row r="440" spans="1:26" ht="15.75" customHeight="1">
      <c r="A440" s="523"/>
      <c r="B440" s="523"/>
      <c r="C440" s="523"/>
      <c r="D440" s="523"/>
      <c r="E440" s="523"/>
      <c r="F440" s="523"/>
      <c r="G440" s="523"/>
      <c r="H440" s="524"/>
      <c r="I440" s="523"/>
      <c r="J440" s="523"/>
      <c r="K440" s="523"/>
      <c r="L440" s="523"/>
      <c r="M440" s="523"/>
      <c r="N440" s="523"/>
      <c r="O440" s="523"/>
      <c r="P440" s="523"/>
      <c r="Q440" s="523"/>
      <c r="R440" s="523"/>
      <c r="S440" s="523"/>
      <c r="T440" s="523"/>
      <c r="U440" s="523"/>
      <c r="V440" s="523"/>
      <c r="W440" s="523"/>
      <c r="X440" s="523"/>
      <c r="Y440" s="523"/>
      <c r="Z440" s="523"/>
    </row>
    <row r="441" spans="1:26" ht="15.75" customHeight="1">
      <c r="A441" s="523"/>
      <c r="B441" s="523"/>
      <c r="C441" s="523"/>
      <c r="D441" s="523"/>
      <c r="E441" s="523"/>
      <c r="F441" s="523"/>
      <c r="G441" s="523"/>
      <c r="H441" s="524"/>
      <c r="I441" s="523"/>
      <c r="J441" s="523"/>
      <c r="K441" s="523"/>
      <c r="L441" s="523"/>
      <c r="M441" s="523"/>
      <c r="N441" s="523"/>
      <c r="O441" s="523"/>
      <c r="P441" s="523"/>
      <c r="Q441" s="523"/>
      <c r="R441" s="523"/>
      <c r="S441" s="523"/>
      <c r="T441" s="523"/>
      <c r="U441" s="523"/>
      <c r="V441" s="523"/>
      <c r="W441" s="523"/>
      <c r="X441" s="523"/>
      <c r="Y441" s="523"/>
      <c r="Z441" s="523"/>
    </row>
    <row r="442" spans="1:26" ht="15.75" customHeight="1">
      <c r="A442" s="523"/>
      <c r="B442" s="523"/>
      <c r="C442" s="523"/>
      <c r="D442" s="523"/>
      <c r="E442" s="523"/>
      <c r="F442" s="523"/>
      <c r="G442" s="523"/>
      <c r="H442" s="524"/>
      <c r="I442" s="523"/>
      <c r="J442" s="523"/>
      <c r="K442" s="523"/>
      <c r="L442" s="523"/>
      <c r="M442" s="523"/>
      <c r="N442" s="523"/>
      <c r="O442" s="523"/>
      <c r="P442" s="523"/>
      <c r="Q442" s="523"/>
      <c r="R442" s="523"/>
      <c r="S442" s="523"/>
      <c r="T442" s="523"/>
      <c r="U442" s="523"/>
      <c r="V442" s="523"/>
      <c r="W442" s="523"/>
      <c r="X442" s="523"/>
      <c r="Y442" s="523"/>
      <c r="Z442" s="523"/>
    </row>
    <row r="443" spans="1:26" ht="15.75" customHeight="1">
      <c r="A443" s="523"/>
      <c r="B443" s="523"/>
      <c r="C443" s="523"/>
      <c r="D443" s="523"/>
      <c r="E443" s="523"/>
      <c r="F443" s="523"/>
      <c r="G443" s="523"/>
      <c r="H443" s="524"/>
      <c r="I443" s="523"/>
      <c r="J443" s="523"/>
      <c r="K443" s="523"/>
      <c r="L443" s="523"/>
      <c r="M443" s="523"/>
      <c r="N443" s="523"/>
      <c r="O443" s="523"/>
      <c r="P443" s="523"/>
      <c r="Q443" s="523"/>
      <c r="R443" s="523"/>
      <c r="S443" s="523"/>
      <c r="T443" s="523"/>
      <c r="U443" s="523"/>
      <c r="V443" s="523"/>
      <c r="W443" s="523"/>
      <c r="X443" s="523"/>
      <c r="Y443" s="523"/>
      <c r="Z443" s="523"/>
    </row>
    <row r="444" spans="1:26" ht="15.75" customHeight="1">
      <c r="A444" s="523"/>
      <c r="B444" s="523"/>
      <c r="C444" s="523"/>
      <c r="D444" s="523"/>
      <c r="E444" s="523"/>
      <c r="F444" s="523"/>
      <c r="G444" s="523"/>
      <c r="H444" s="524"/>
      <c r="I444" s="523"/>
      <c r="J444" s="523"/>
      <c r="K444" s="523"/>
      <c r="L444" s="523"/>
      <c r="M444" s="523"/>
      <c r="N444" s="523"/>
      <c r="O444" s="523"/>
      <c r="P444" s="523"/>
      <c r="Q444" s="523"/>
      <c r="R444" s="523"/>
      <c r="S444" s="523"/>
      <c r="T444" s="523"/>
      <c r="U444" s="523"/>
      <c r="V444" s="523"/>
      <c r="W444" s="523"/>
      <c r="X444" s="523"/>
      <c r="Y444" s="523"/>
      <c r="Z444" s="523"/>
    </row>
    <row r="445" spans="1:26" ht="15.75" customHeight="1">
      <c r="A445" s="523"/>
      <c r="B445" s="523"/>
      <c r="C445" s="523"/>
      <c r="D445" s="523"/>
      <c r="E445" s="523"/>
      <c r="F445" s="523"/>
      <c r="G445" s="523"/>
      <c r="H445" s="524"/>
      <c r="I445" s="523"/>
      <c r="J445" s="523"/>
      <c r="K445" s="523"/>
      <c r="L445" s="523"/>
      <c r="M445" s="523"/>
      <c r="N445" s="523"/>
      <c r="O445" s="523"/>
      <c r="P445" s="523"/>
      <c r="Q445" s="523"/>
      <c r="R445" s="523"/>
      <c r="S445" s="523"/>
      <c r="T445" s="523"/>
      <c r="U445" s="523"/>
      <c r="V445" s="523"/>
      <c r="W445" s="523"/>
      <c r="X445" s="523"/>
      <c r="Y445" s="523"/>
      <c r="Z445" s="523"/>
    </row>
    <row r="446" spans="1:26" ht="15.75" customHeight="1">
      <c r="A446" s="523"/>
      <c r="B446" s="523"/>
      <c r="C446" s="523"/>
      <c r="D446" s="523"/>
      <c r="E446" s="523"/>
      <c r="F446" s="523"/>
      <c r="G446" s="523"/>
      <c r="H446" s="524"/>
      <c r="I446" s="523"/>
      <c r="J446" s="523"/>
      <c r="K446" s="523"/>
      <c r="L446" s="523"/>
      <c r="M446" s="523"/>
      <c r="N446" s="523"/>
      <c r="O446" s="523"/>
      <c r="P446" s="523"/>
      <c r="Q446" s="523"/>
      <c r="R446" s="523"/>
      <c r="S446" s="523"/>
      <c r="T446" s="523"/>
      <c r="U446" s="523"/>
      <c r="V446" s="523"/>
      <c r="W446" s="523"/>
      <c r="X446" s="523"/>
      <c r="Y446" s="523"/>
      <c r="Z446" s="523"/>
    </row>
    <row r="447" spans="1:26" ht="15.75" customHeight="1">
      <c r="A447" s="523"/>
      <c r="B447" s="523"/>
      <c r="C447" s="523"/>
      <c r="D447" s="523"/>
      <c r="E447" s="523"/>
      <c r="F447" s="523"/>
      <c r="G447" s="523"/>
      <c r="H447" s="524"/>
      <c r="I447" s="523"/>
      <c r="J447" s="523"/>
      <c r="K447" s="523"/>
      <c r="L447" s="523"/>
      <c r="M447" s="523"/>
      <c r="N447" s="523"/>
      <c r="O447" s="523"/>
      <c r="P447" s="523"/>
      <c r="Q447" s="523"/>
      <c r="R447" s="523"/>
      <c r="S447" s="523"/>
      <c r="T447" s="523"/>
      <c r="U447" s="523"/>
      <c r="V447" s="523"/>
      <c r="W447" s="523"/>
      <c r="X447" s="523"/>
      <c r="Y447" s="523"/>
      <c r="Z447" s="523"/>
    </row>
    <row r="448" spans="1:26" ht="15.75" customHeight="1">
      <c r="A448" s="523"/>
      <c r="B448" s="523"/>
      <c r="C448" s="523"/>
      <c r="D448" s="523"/>
      <c r="E448" s="523"/>
      <c r="F448" s="523"/>
      <c r="G448" s="523"/>
      <c r="H448" s="524"/>
      <c r="I448" s="523"/>
      <c r="J448" s="523"/>
      <c r="K448" s="523"/>
      <c r="L448" s="523"/>
      <c r="M448" s="523"/>
      <c r="N448" s="523"/>
      <c r="O448" s="523"/>
      <c r="P448" s="523"/>
      <c r="Q448" s="523"/>
      <c r="R448" s="523"/>
      <c r="S448" s="523"/>
      <c r="T448" s="523"/>
      <c r="U448" s="523"/>
      <c r="V448" s="523"/>
      <c r="W448" s="523"/>
      <c r="X448" s="523"/>
      <c r="Y448" s="523"/>
      <c r="Z448" s="523"/>
    </row>
    <row r="449" spans="1:26" ht="15.75" customHeight="1">
      <c r="A449" s="523"/>
      <c r="B449" s="523"/>
      <c r="C449" s="523"/>
      <c r="D449" s="523"/>
      <c r="E449" s="523"/>
      <c r="F449" s="523"/>
      <c r="G449" s="523"/>
      <c r="H449" s="524"/>
      <c r="I449" s="523"/>
      <c r="J449" s="523"/>
      <c r="K449" s="523"/>
      <c r="L449" s="523"/>
      <c r="M449" s="523"/>
      <c r="N449" s="523"/>
      <c r="O449" s="523"/>
      <c r="P449" s="523"/>
      <c r="Q449" s="523"/>
      <c r="R449" s="523"/>
      <c r="S449" s="523"/>
      <c r="T449" s="523"/>
      <c r="U449" s="523"/>
      <c r="V449" s="523"/>
      <c r="W449" s="523"/>
      <c r="X449" s="523"/>
      <c r="Y449" s="523"/>
      <c r="Z449" s="523"/>
    </row>
    <row r="450" spans="1:26" ht="15.75" customHeight="1">
      <c r="A450" s="523"/>
      <c r="B450" s="523"/>
      <c r="C450" s="523"/>
      <c r="D450" s="523"/>
      <c r="E450" s="523"/>
      <c r="F450" s="523"/>
      <c r="G450" s="523"/>
      <c r="H450" s="524"/>
      <c r="I450" s="523"/>
      <c r="J450" s="523"/>
      <c r="K450" s="523"/>
      <c r="L450" s="523"/>
      <c r="M450" s="523"/>
      <c r="N450" s="523"/>
      <c r="O450" s="523"/>
      <c r="P450" s="523"/>
      <c r="Q450" s="523"/>
      <c r="R450" s="523"/>
      <c r="S450" s="523"/>
      <c r="T450" s="523"/>
      <c r="U450" s="523"/>
      <c r="V450" s="523"/>
      <c r="W450" s="523"/>
      <c r="X450" s="523"/>
      <c r="Y450" s="523"/>
      <c r="Z450" s="523"/>
    </row>
    <row r="451" spans="1:26" ht="15.75" customHeight="1">
      <c r="A451" s="523"/>
      <c r="B451" s="523"/>
      <c r="C451" s="523"/>
      <c r="D451" s="523"/>
      <c r="E451" s="523"/>
      <c r="F451" s="523"/>
      <c r="G451" s="523"/>
      <c r="H451" s="524"/>
      <c r="I451" s="523"/>
      <c r="J451" s="523"/>
      <c r="K451" s="523"/>
      <c r="L451" s="523"/>
      <c r="M451" s="523"/>
      <c r="N451" s="523"/>
      <c r="O451" s="523"/>
      <c r="P451" s="523"/>
      <c r="Q451" s="523"/>
      <c r="R451" s="523"/>
      <c r="S451" s="523"/>
      <c r="T451" s="523"/>
      <c r="U451" s="523"/>
      <c r="V451" s="523"/>
      <c r="W451" s="523"/>
      <c r="X451" s="523"/>
      <c r="Y451" s="523"/>
      <c r="Z451" s="523"/>
    </row>
    <row r="452" spans="1:26" ht="15.75" customHeight="1">
      <c r="A452" s="523"/>
      <c r="B452" s="523"/>
      <c r="C452" s="523"/>
      <c r="D452" s="523"/>
      <c r="E452" s="523"/>
      <c r="F452" s="523"/>
      <c r="G452" s="523"/>
      <c r="H452" s="524"/>
      <c r="I452" s="523"/>
      <c r="J452" s="523"/>
      <c r="K452" s="523"/>
      <c r="L452" s="523"/>
      <c r="M452" s="523"/>
      <c r="N452" s="523"/>
      <c r="O452" s="523"/>
      <c r="P452" s="523"/>
      <c r="Q452" s="523"/>
      <c r="R452" s="523"/>
      <c r="S452" s="523"/>
      <c r="T452" s="523"/>
      <c r="U452" s="523"/>
      <c r="V452" s="523"/>
      <c r="W452" s="523"/>
      <c r="X452" s="523"/>
      <c r="Y452" s="523"/>
      <c r="Z452" s="523"/>
    </row>
    <row r="453" spans="1:26" ht="15.75" customHeight="1">
      <c r="A453" s="523"/>
      <c r="B453" s="523"/>
      <c r="C453" s="523"/>
      <c r="D453" s="523"/>
      <c r="E453" s="523"/>
      <c r="F453" s="523"/>
      <c r="G453" s="523"/>
      <c r="H453" s="524"/>
      <c r="I453" s="523"/>
      <c r="J453" s="523"/>
      <c r="K453" s="523"/>
      <c r="L453" s="523"/>
      <c r="M453" s="523"/>
      <c r="N453" s="523"/>
      <c r="O453" s="523"/>
      <c r="P453" s="523"/>
      <c r="Q453" s="523"/>
      <c r="R453" s="523"/>
      <c r="S453" s="523"/>
      <c r="T453" s="523"/>
      <c r="U453" s="523"/>
      <c r="V453" s="523"/>
      <c r="W453" s="523"/>
      <c r="X453" s="523"/>
      <c r="Y453" s="523"/>
      <c r="Z453" s="523"/>
    </row>
    <row r="454" spans="1:26" ht="15.75" customHeight="1">
      <c r="A454" s="523"/>
      <c r="B454" s="523"/>
      <c r="C454" s="523"/>
      <c r="D454" s="523"/>
      <c r="E454" s="523"/>
      <c r="F454" s="523"/>
      <c r="G454" s="523"/>
      <c r="H454" s="524"/>
      <c r="I454" s="523"/>
      <c r="J454" s="523"/>
      <c r="K454" s="523"/>
      <c r="L454" s="523"/>
      <c r="M454" s="523"/>
      <c r="N454" s="523"/>
      <c r="O454" s="523"/>
      <c r="P454" s="523"/>
      <c r="Q454" s="523"/>
      <c r="R454" s="523"/>
      <c r="S454" s="523"/>
      <c r="T454" s="523"/>
      <c r="U454" s="523"/>
      <c r="V454" s="523"/>
      <c r="W454" s="523"/>
      <c r="X454" s="523"/>
      <c r="Y454" s="523"/>
      <c r="Z454" s="523"/>
    </row>
    <row r="455" spans="1:26" ht="15.75" customHeight="1">
      <c r="A455" s="523"/>
      <c r="B455" s="523"/>
      <c r="C455" s="523"/>
      <c r="D455" s="523"/>
      <c r="E455" s="523"/>
      <c r="F455" s="523"/>
      <c r="G455" s="523"/>
      <c r="H455" s="524"/>
      <c r="I455" s="523"/>
      <c r="J455" s="523"/>
      <c r="K455" s="523"/>
      <c r="L455" s="523"/>
      <c r="M455" s="523"/>
      <c r="N455" s="523"/>
      <c r="O455" s="523"/>
      <c r="P455" s="523"/>
      <c r="Q455" s="523"/>
      <c r="R455" s="523"/>
      <c r="S455" s="523"/>
      <c r="T455" s="523"/>
      <c r="U455" s="523"/>
      <c r="V455" s="523"/>
      <c r="W455" s="523"/>
      <c r="X455" s="523"/>
      <c r="Y455" s="523"/>
      <c r="Z455" s="523"/>
    </row>
    <row r="456" spans="1:26" ht="15.75" customHeight="1">
      <c r="A456" s="523"/>
      <c r="B456" s="523"/>
      <c r="C456" s="523"/>
      <c r="D456" s="523"/>
      <c r="E456" s="523"/>
      <c r="F456" s="523"/>
      <c r="G456" s="523"/>
      <c r="H456" s="524"/>
      <c r="I456" s="523"/>
      <c r="J456" s="523"/>
      <c r="K456" s="523"/>
      <c r="L456" s="523"/>
      <c r="M456" s="523"/>
      <c r="N456" s="523"/>
      <c r="O456" s="523"/>
      <c r="P456" s="523"/>
      <c r="Q456" s="523"/>
      <c r="R456" s="523"/>
      <c r="S456" s="523"/>
      <c r="T456" s="523"/>
      <c r="U456" s="523"/>
      <c r="V456" s="523"/>
      <c r="W456" s="523"/>
      <c r="X456" s="523"/>
      <c r="Y456" s="523"/>
      <c r="Z456" s="523"/>
    </row>
    <row r="457" spans="1:26" ht="15.75" customHeight="1">
      <c r="A457" s="523"/>
      <c r="B457" s="523"/>
      <c r="C457" s="523"/>
      <c r="D457" s="523"/>
      <c r="E457" s="523"/>
      <c r="F457" s="523"/>
      <c r="G457" s="523"/>
      <c r="H457" s="524"/>
      <c r="I457" s="523"/>
      <c r="J457" s="523"/>
      <c r="K457" s="523"/>
      <c r="L457" s="523"/>
      <c r="M457" s="523"/>
      <c r="N457" s="523"/>
      <c r="O457" s="523"/>
      <c r="P457" s="523"/>
      <c r="Q457" s="523"/>
      <c r="R457" s="523"/>
      <c r="S457" s="523"/>
      <c r="T457" s="523"/>
      <c r="U457" s="523"/>
      <c r="V457" s="523"/>
      <c r="W457" s="523"/>
      <c r="X457" s="523"/>
      <c r="Y457" s="523"/>
      <c r="Z457" s="523"/>
    </row>
    <row r="458" spans="1:26" ht="15.75" customHeight="1">
      <c r="A458" s="523"/>
      <c r="B458" s="523"/>
      <c r="C458" s="523"/>
      <c r="D458" s="523"/>
      <c r="E458" s="523"/>
      <c r="F458" s="523"/>
      <c r="G458" s="523"/>
      <c r="H458" s="524"/>
      <c r="I458" s="523"/>
      <c r="J458" s="523"/>
      <c r="K458" s="523"/>
      <c r="L458" s="523"/>
      <c r="M458" s="523"/>
      <c r="N458" s="523"/>
      <c r="O458" s="523"/>
      <c r="P458" s="523"/>
      <c r="Q458" s="523"/>
      <c r="R458" s="523"/>
      <c r="S458" s="523"/>
      <c r="T458" s="523"/>
      <c r="U458" s="523"/>
      <c r="V458" s="523"/>
      <c r="W458" s="523"/>
      <c r="X458" s="523"/>
      <c r="Y458" s="523"/>
      <c r="Z458" s="523"/>
    </row>
    <row r="459" spans="1:26" ht="15.75" customHeight="1">
      <c r="A459" s="523"/>
      <c r="B459" s="523"/>
      <c r="C459" s="523"/>
      <c r="D459" s="523"/>
      <c r="E459" s="523"/>
      <c r="F459" s="523"/>
      <c r="G459" s="523"/>
      <c r="H459" s="524"/>
      <c r="I459" s="523"/>
      <c r="J459" s="523"/>
      <c r="K459" s="523"/>
      <c r="L459" s="523"/>
      <c r="M459" s="523"/>
      <c r="N459" s="523"/>
      <c r="O459" s="523"/>
      <c r="P459" s="523"/>
      <c r="Q459" s="523"/>
      <c r="R459" s="523"/>
      <c r="S459" s="523"/>
      <c r="T459" s="523"/>
      <c r="U459" s="523"/>
      <c r="V459" s="523"/>
      <c r="W459" s="523"/>
      <c r="X459" s="523"/>
      <c r="Y459" s="523"/>
      <c r="Z459" s="523"/>
    </row>
    <row r="460" spans="1:26" ht="15.75" customHeight="1">
      <c r="A460" s="523"/>
      <c r="B460" s="523"/>
      <c r="C460" s="523"/>
      <c r="D460" s="523"/>
      <c r="E460" s="523"/>
      <c r="F460" s="523"/>
      <c r="G460" s="523"/>
      <c r="H460" s="524"/>
      <c r="I460" s="523"/>
      <c r="J460" s="523"/>
      <c r="K460" s="523"/>
      <c r="L460" s="523"/>
      <c r="M460" s="523"/>
      <c r="N460" s="523"/>
      <c r="O460" s="523"/>
      <c r="P460" s="523"/>
      <c r="Q460" s="523"/>
      <c r="R460" s="523"/>
      <c r="S460" s="523"/>
      <c r="T460" s="523"/>
      <c r="U460" s="523"/>
      <c r="V460" s="523"/>
      <c r="W460" s="523"/>
      <c r="X460" s="523"/>
      <c r="Y460" s="523"/>
      <c r="Z460" s="523"/>
    </row>
    <row r="461" spans="1:26" ht="15.75" customHeight="1">
      <c r="A461" s="523"/>
      <c r="B461" s="523"/>
      <c r="C461" s="523"/>
      <c r="D461" s="523"/>
      <c r="E461" s="523"/>
      <c r="F461" s="523"/>
      <c r="G461" s="523"/>
      <c r="H461" s="524"/>
      <c r="I461" s="523"/>
      <c r="J461" s="523"/>
      <c r="K461" s="523"/>
      <c r="L461" s="523"/>
      <c r="M461" s="523"/>
      <c r="N461" s="523"/>
      <c r="O461" s="523"/>
      <c r="P461" s="523"/>
      <c r="Q461" s="523"/>
      <c r="R461" s="523"/>
      <c r="S461" s="523"/>
      <c r="T461" s="523"/>
      <c r="U461" s="523"/>
      <c r="V461" s="523"/>
      <c r="W461" s="523"/>
      <c r="X461" s="523"/>
      <c r="Y461" s="523"/>
      <c r="Z461" s="523"/>
    </row>
    <row r="462" spans="1:26" ht="15.75" customHeight="1">
      <c r="A462" s="523"/>
      <c r="B462" s="523"/>
      <c r="C462" s="523"/>
      <c r="D462" s="523"/>
      <c r="E462" s="523"/>
      <c r="F462" s="523"/>
      <c r="G462" s="523"/>
      <c r="H462" s="524"/>
      <c r="I462" s="523"/>
      <c r="J462" s="523"/>
      <c r="K462" s="523"/>
      <c r="L462" s="523"/>
      <c r="M462" s="523"/>
      <c r="N462" s="523"/>
      <c r="O462" s="523"/>
      <c r="P462" s="523"/>
      <c r="Q462" s="523"/>
      <c r="R462" s="523"/>
      <c r="S462" s="523"/>
      <c r="T462" s="523"/>
      <c r="U462" s="523"/>
      <c r="V462" s="523"/>
      <c r="W462" s="523"/>
      <c r="X462" s="523"/>
      <c r="Y462" s="523"/>
      <c r="Z462" s="523"/>
    </row>
    <row r="463" spans="1:26" ht="15.75" customHeight="1">
      <c r="A463" s="523"/>
      <c r="B463" s="523"/>
      <c r="C463" s="523"/>
      <c r="D463" s="523"/>
      <c r="E463" s="523"/>
      <c r="F463" s="523"/>
      <c r="G463" s="523"/>
      <c r="H463" s="524"/>
      <c r="I463" s="523"/>
      <c r="J463" s="523"/>
      <c r="K463" s="523"/>
      <c r="L463" s="523"/>
      <c r="M463" s="523"/>
      <c r="N463" s="523"/>
      <c r="O463" s="523"/>
      <c r="P463" s="523"/>
      <c r="Q463" s="523"/>
      <c r="R463" s="523"/>
      <c r="S463" s="523"/>
      <c r="T463" s="523"/>
      <c r="U463" s="523"/>
      <c r="V463" s="523"/>
      <c r="W463" s="523"/>
      <c r="X463" s="523"/>
      <c r="Y463" s="523"/>
      <c r="Z463" s="523"/>
    </row>
    <row r="464" spans="1:26" ht="15.75" customHeight="1">
      <c r="A464" s="523"/>
      <c r="B464" s="523"/>
      <c r="C464" s="523"/>
      <c r="D464" s="523"/>
      <c r="E464" s="523"/>
      <c r="F464" s="523"/>
      <c r="G464" s="523"/>
      <c r="H464" s="524"/>
      <c r="I464" s="523"/>
      <c r="J464" s="523"/>
      <c r="K464" s="523"/>
      <c r="L464" s="523"/>
      <c r="M464" s="523"/>
      <c r="N464" s="523"/>
      <c r="O464" s="523"/>
      <c r="P464" s="523"/>
      <c r="Q464" s="523"/>
      <c r="R464" s="523"/>
      <c r="S464" s="523"/>
      <c r="T464" s="523"/>
      <c r="U464" s="523"/>
      <c r="V464" s="523"/>
      <c r="W464" s="523"/>
      <c r="X464" s="523"/>
      <c r="Y464" s="523"/>
      <c r="Z464" s="523"/>
    </row>
    <row r="465" spans="1:26" ht="15.75" customHeight="1">
      <c r="A465" s="523"/>
      <c r="B465" s="523"/>
      <c r="C465" s="523"/>
      <c r="D465" s="523"/>
      <c r="E465" s="523"/>
      <c r="F465" s="523"/>
      <c r="G465" s="523"/>
      <c r="H465" s="524"/>
      <c r="I465" s="523"/>
      <c r="J465" s="523"/>
      <c r="K465" s="523"/>
      <c r="L465" s="523"/>
      <c r="M465" s="523"/>
      <c r="N465" s="523"/>
      <c r="O465" s="523"/>
      <c r="P465" s="523"/>
      <c r="Q465" s="523"/>
      <c r="R465" s="523"/>
      <c r="S465" s="523"/>
      <c r="T465" s="523"/>
      <c r="U465" s="523"/>
      <c r="V465" s="523"/>
      <c r="W465" s="523"/>
      <c r="X465" s="523"/>
      <c r="Y465" s="523"/>
      <c r="Z465" s="523"/>
    </row>
    <row r="466" spans="1:26" ht="15.75" customHeight="1">
      <c r="A466" s="523"/>
      <c r="B466" s="523"/>
      <c r="C466" s="523"/>
      <c r="D466" s="523"/>
      <c r="E466" s="523"/>
      <c r="F466" s="523"/>
      <c r="G466" s="523"/>
      <c r="H466" s="524"/>
      <c r="I466" s="523"/>
      <c r="J466" s="523"/>
      <c r="K466" s="523"/>
      <c r="L466" s="523"/>
      <c r="M466" s="523"/>
      <c r="N466" s="523"/>
      <c r="O466" s="523"/>
      <c r="P466" s="523"/>
      <c r="Q466" s="523"/>
      <c r="R466" s="523"/>
      <c r="S466" s="523"/>
      <c r="T466" s="523"/>
      <c r="U466" s="523"/>
      <c r="V466" s="523"/>
      <c r="W466" s="523"/>
      <c r="X466" s="523"/>
      <c r="Y466" s="523"/>
      <c r="Z466" s="523"/>
    </row>
    <row r="467" spans="1:26" ht="15.75" customHeight="1">
      <c r="A467" s="523"/>
      <c r="B467" s="523"/>
      <c r="C467" s="523"/>
      <c r="D467" s="523"/>
      <c r="E467" s="523"/>
      <c r="F467" s="523"/>
      <c r="G467" s="523"/>
      <c r="H467" s="524"/>
      <c r="I467" s="523"/>
      <c r="J467" s="523"/>
      <c r="K467" s="523"/>
      <c r="L467" s="523"/>
      <c r="M467" s="523"/>
      <c r="N467" s="523"/>
      <c r="O467" s="523"/>
      <c r="P467" s="523"/>
      <c r="Q467" s="523"/>
      <c r="R467" s="523"/>
      <c r="S467" s="523"/>
      <c r="T467" s="523"/>
      <c r="U467" s="523"/>
      <c r="V467" s="523"/>
      <c r="W467" s="523"/>
      <c r="X467" s="523"/>
      <c r="Y467" s="523"/>
      <c r="Z467" s="523"/>
    </row>
    <row r="468" spans="1:26" ht="15.75" customHeight="1">
      <c r="A468" s="523"/>
      <c r="B468" s="523"/>
      <c r="C468" s="523"/>
      <c r="D468" s="523"/>
      <c r="E468" s="523"/>
      <c r="F468" s="523"/>
      <c r="G468" s="523"/>
      <c r="H468" s="524"/>
      <c r="I468" s="523"/>
      <c r="J468" s="523"/>
      <c r="K468" s="523"/>
      <c r="L468" s="523"/>
      <c r="M468" s="523"/>
      <c r="N468" s="523"/>
      <c r="O468" s="523"/>
      <c r="P468" s="523"/>
      <c r="Q468" s="523"/>
      <c r="R468" s="523"/>
      <c r="S468" s="523"/>
      <c r="T468" s="523"/>
      <c r="U468" s="523"/>
      <c r="V468" s="523"/>
      <c r="W468" s="523"/>
      <c r="X468" s="523"/>
      <c r="Y468" s="523"/>
      <c r="Z468" s="523"/>
    </row>
    <row r="469" spans="1:26" ht="15.75" customHeight="1">
      <c r="A469" s="523"/>
      <c r="B469" s="523"/>
      <c r="C469" s="523"/>
      <c r="D469" s="523"/>
      <c r="E469" s="523"/>
      <c r="F469" s="523"/>
      <c r="G469" s="523"/>
      <c r="H469" s="524"/>
      <c r="I469" s="523"/>
      <c r="J469" s="523"/>
      <c r="K469" s="523"/>
      <c r="L469" s="523"/>
      <c r="M469" s="523"/>
      <c r="N469" s="523"/>
      <c r="O469" s="523"/>
      <c r="P469" s="523"/>
      <c r="Q469" s="523"/>
      <c r="R469" s="523"/>
      <c r="S469" s="523"/>
      <c r="T469" s="523"/>
      <c r="U469" s="523"/>
      <c r="V469" s="523"/>
      <c r="W469" s="523"/>
      <c r="X469" s="523"/>
      <c r="Y469" s="523"/>
      <c r="Z469" s="523"/>
    </row>
    <row r="470" spans="1:26" ht="15.75" customHeight="1">
      <c r="A470" s="523"/>
      <c r="B470" s="523"/>
      <c r="C470" s="523"/>
      <c r="D470" s="523"/>
      <c r="E470" s="523"/>
      <c r="F470" s="523"/>
      <c r="G470" s="523"/>
      <c r="H470" s="524"/>
      <c r="I470" s="523"/>
      <c r="J470" s="523"/>
      <c r="K470" s="523"/>
      <c r="L470" s="523"/>
      <c r="M470" s="523"/>
      <c r="N470" s="523"/>
      <c r="O470" s="523"/>
      <c r="P470" s="523"/>
      <c r="Q470" s="523"/>
      <c r="R470" s="523"/>
      <c r="S470" s="523"/>
      <c r="T470" s="523"/>
      <c r="U470" s="523"/>
      <c r="V470" s="523"/>
      <c r="W470" s="523"/>
      <c r="X470" s="523"/>
      <c r="Y470" s="523"/>
      <c r="Z470" s="523"/>
    </row>
    <row r="471" spans="1:26" ht="15.75" customHeight="1">
      <c r="A471" s="523"/>
      <c r="B471" s="523"/>
      <c r="C471" s="523"/>
      <c r="D471" s="523"/>
      <c r="E471" s="523"/>
      <c r="F471" s="523"/>
      <c r="G471" s="523"/>
      <c r="H471" s="524"/>
      <c r="I471" s="523"/>
      <c r="J471" s="523"/>
      <c r="K471" s="523"/>
      <c r="L471" s="523"/>
      <c r="M471" s="523"/>
      <c r="N471" s="523"/>
      <c r="O471" s="523"/>
      <c r="P471" s="523"/>
      <c r="Q471" s="523"/>
      <c r="R471" s="523"/>
      <c r="S471" s="523"/>
      <c r="T471" s="523"/>
      <c r="U471" s="523"/>
      <c r="V471" s="523"/>
      <c r="W471" s="523"/>
      <c r="X471" s="523"/>
      <c r="Y471" s="523"/>
      <c r="Z471" s="523"/>
    </row>
    <row r="472" spans="1:26" ht="15.75" customHeight="1">
      <c r="A472" s="523"/>
      <c r="B472" s="523"/>
      <c r="C472" s="523"/>
      <c r="D472" s="523"/>
      <c r="E472" s="523"/>
      <c r="F472" s="523"/>
      <c r="G472" s="523"/>
      <c r="H472" s="524"/>
      <c r="I472" s="523"/>
      <c r="J472" s="523"/>
      <c r="K472" s="523"/>
      <c r="L472" s="523"/>
      <c r="M472" s="523"/>
      <c r="N472" s="523"/>
      <c r="O472" s="523"/>
      <c r="P472" s="523"/>
      <c r="Q472" s="523"/>
      <c r="R472" s="523"/>
      <c r="S472" s="523"/>
      <c r="T472" s="523"/>
      <c r="U472" s="523"/>
      <c r="V472" s="523"/>
      <c r="W472" s="523"/>
      <c r="X472" s="523"/>
      <c r="Y472" s="523"/>
      <c r="Z472" s="523"/>
    </row>
    <row r="473" spans="1:26" ht="15.75" customHeight="1">
      <c r="A473" s="523"/>
      <c r="B473" s="523"/>
      <c r="C473" s="523"/>
      <c r="D473" s="523"/>
      <c r="E473" s="523"/>
      <c r="F473" s="523"/>
      <c r="G473" s="523"/>
      <c r="H473" s="524"/>
      <c r="I473" s="523"/>
      <c r="J473" s="523"/>
      <c r="K473" s="523"/>
      <c r="L473" s="523"/>
      <c r="M473" s="523"/>
      <c r="N473" s="523"/>
      <c r="O473" s="523"/>
      <c r="P473" s="523"/>
      <c r="Q473" s="523"/>
      <c r="R473" s="523"/>
      <c r="S473" s="523"/>
      <c r="T473" s="523"/>
      <c r="U473" s="523"/>
      <c r="V473" s="523"/>
      <c r="W473" s="523"/>
      <c r="X473" s="523"/>
      <c r="Y473" s="523"/>
      <c r="Z473" s="523"/>
    </row>
    <row r="474" spans="1:26" ht="15.75" customHeight="1">
      <c r="A474" s="523"/>
      <c r="B474" s="523"/>
      <c r="C474" s="523"/>
      <c r="D474" s="523"/>
      <c r="E474" s="523"/>
      <c r="F474" s="523"/>
      <c r="G474" s="523"/>
      <c r="H474" s="524"/>
      <c r="I474" s="523"/>
      <c r="J474" s="523"/>
      <c r="K474" s="523"/>
      <c r="L474" s="523"/>
      <c r="M474" s="523"/>
      <c r="N474" s="523"/>
      <c r="O474" s="523"/>
      <c r="P474" s="523"/>
      <c r="Q474" s="523"/>
      <c r="R474" s="523"/>
      <c r="S474" s="523"/>
      <c r="T474" s="523"/>
      <c r="U474" s="523"/>
      <c r="V474" s="523"/>
      <c r="W474" s="523"/>
      <c r="X474" s="523"/>
      <c r="Y474" s="523"/>
      <c r="Z474" s="523"/>
    </row>
    <row r="475" spans="1:26" ht="15.75" customHeight="1">
      <c r="A475" s="523"/>
      <c r="B475" s="523"/>
      <c r="C475" s="523"/>
      <c r="D475" s="523"/>
      <c r="E475" s="523"/>
      <c r="F475" s="523"/>
      <c r="G475" s="523"/>
      <c r="H475" s="524"/>
      <c r="I475" s="523"/>
      <c r="J475" s="523"/>
      <c r="K475" s="523"/>
      <c r="L475" s="523"/>
      <c r="M475" s="523"/>
      <c r="N475" s="523"/>
      <c r="O475" s="523"/>
      <c r="P475" s="523"/>
      <c r="Q475" s="523"/>
      <c r="R475" s="523"/>
      <c r="S475" s="523"/>
      <c r="T475" s="523"/>
      <c r="U475" s="523"/>
      <c r="V475" s="523"/>
      <c r="W475" s="523"/>
      <c r="X475" s="523"/>
      <c r="Y475" s="523"/>
      <c r="Z475" s="523"/>
    </row>
    <row r="476" spans="1:26" ht="15.75" customHeight="1">
      <c r="A476" s="523"/>
      <c r="B476" s="523"/>
      <c r="C476" s="523"/>
      <c r="D476" s="523"/>
      <c r="E476" s="523"/>
      <c r="F476" s="523"/>
      <c r="G476" s="523"/>
      <c r="H476" s="524"/>
      <c r="I476" s="523"/>
      <c r="J476" s="523"/>
      <c r="K476" s="523"/>
      <c r="L476" s="523"/>
      <c r="M476" s="523"/>
      <c r="N476" s="523"/>
      <c r="O476" s="523"/>
      <c r="P476" s="523"/>
      <c r="Q476" s="523"/>
      <c r="R476" s="523"/>
      <c r="S476" s="523"/>
      <c r="T476" s="523"/>
      <c r="U476" s="523"/>
      <c r="V476" s="523"/>
      <c r="W476" s="523"/>
      <c r="X476" s="523"/>
      <c r="Y476" s="523"/>
      <c r="Z476" s="523"/>
    </row>
    <row r="477" spans="1:26" ht="15.75" customHeight="1">
      <c r="A477" s="523"/>
      <c r="B477" s="523"/>
      <c r="C477" s="523"/>
      <c r="D477" s="523"/>
      <c r="E477" s="523"/>
      <c r="F477" s="523"/>
      <c r="G477" s="523"/>
      <c r="H477" s="524"/>
      <c r="I477" s="523"/>
      <c r="J477" s="523"/>
      <c r="K477" s="523"/>
      <c r="L477" s="523"/>
      <c r="M477" s="523"/>
      <c r="N477" s="523"/>
      <c r="O477" s="523"/>
      <c r="P477" s="523"/>
      <c r="Q477" s="523"/>
      <c r="R477" s="523"/>
      <c r="S477" s="523"/>
      <c r="T477" s="523"/>
      <c r="U477" s="523"/>
      <c r="V477" s="523"/>
      <c r="W477" s="523"/>
      <c r="X477" s="523"/>
      <c r="Y477" s="523"/>
      <c r="Z477" s="523"/>
    </row>
    <row r="478" spans="1:26" ht="15.75" customHeight="1">
      <c r="A478" s="523"/>
      <c r="B478" s="523"/>
      <c r="C478" s="523"/>
      <c r="D478" s="523"/>
      <c r="E478" s="523"/>
      <c r="F478" s="523"/>
      <c r="G478" s="523"/>
      <c r="H478" s="524"/>
      <c r="I478" s="523"/>
      <c r="J478" s="523"/>
      <c r="K478" s="523"/>
      <c r="L478" s="523"/>
      <c r="M478" s="523"/>
      <c r="N478" s="523"/>
      <c r="O478" s="523"/>
      <c r="P478" s="523"/>
      <c r="Q478" s="523"/>
      <c r="R478" s="523"/>
      <c r="S478" s="523"/>
      <c r="T478" s="523"/>
      <c r="U478" s="523"/>
      <c r="V478" s="523"/>
      <c r="W478" s="523"/>
      <c r="X478" s="523"/>
      <c r="Y478" s="523"/>
      <c r="Z478" s="523"/>
    </row>
    <row r="479" spans="1:26" ht="15.75" customHeight="1">
      <c r="A479" s="523"/>
      <c r="B479" s="523"/>
      <c r="C479" s="523"/>
      <c r="D479" s="523"/>
      <c r="E479" s="523"/>
      <c r="F479" s="523"/>
      <c r="G479" s="523"/>
      <c r="H479" s="524"/>
      <c r="I479" s="523"/>
      <c r="J479" s="523"/>
      <c r="K479" s="523"/>
      <c r="L479" s="523"/>
      <c r="M479" s="523"/>
      <c r="N479" s="523"/>
      <c r="O479" s="523"/>
      <c r="P479" s="523"/>
      <c r="Q479" s="523"/>
      <c r="R479" s="523"/>
      <c r="S479" s="523"/>
      <c r="T479" s="523"/>
      <c r="U479" s="523"/>
      <c r="V479" s="523"/>
      <c r="W479" s="523"/>
      <c r="X479" s="523"/>
      <c r="Y479" s="523"/>
      <c r="Z479" s="523"/>
    </row>
    <row r="480" spans="1:26" ht="15.75" customHeight="1">
      <c r="A480" s="523"/>
      <c r="B480" s="523"/>
      <c r="C480" s="523"/>
      <c r="D480" s="523"/>
      <c r="E480" s="523"/>
      <c r="F480" s="523"/>
      <c r="G480" s="523"/>
      <c r="H480" s="524"/>
      <c r="I480" s="523"/>
      <c r="J480" s="523"/>
      <c r="K480" s="523"/>
      <c r="L480" s="523"/>
      <c r="M480" s="523"/>
      <c r="N480" s="523"/>
      <c r="O480" s="523"/>
      <c r="P480" s="523"/>
      <c r="Q480" s="523"/>
      <c r="R480" s="523"/>
      <c r="S480" s="523"/>
      <c r="T480" s="523"/>
      <c r="U480" s="523"/>
      <c r="V480" s="523"/>
      <c r="W480" s="523"/>
      <c r="X480" s="523"/>
      <c r="Y480" s="523"/>
      <c r="Z480" s="523"/>
    </row>
    <row r="481" spans="1:26" ht="15.75" customHeight="1">
      <c r="A481" s="523"/>
      <c r="B481" s="523"/>
      <c r="C481" s="523"/>
      <c r="D481" s="523"/>
      <c r="E481" s="523"/>
      <c r="F481" s="523"/>
      <c r="G481" s="523"/>
      <c r="H481" s="524"/>
      <c r="I481" s="523"/>
      <c r="J481" s="523"/>
      <c r="K481" s="523"/>
      <c r="L481" s="523"/>
      <c r="M481" s="523"/>
      <c r="N481" s="523"/>
      <c r="O481" s="523"/>
      <c r="P481" s="523"/>
      <c r="Q481" s="523"/>
      <c r="R481" s="523"/>
      <c r="S481" s="523"/>
      <c r="T481" s="523"/>
      <c r="U481" s="523"/>
      <c r="V481" s="523"/>
      <c r="W481" s="523"/>
      <c r="X481" s="523"/>
      <c r="Y481" s="523"/>
      <c r="Z481" s="523"/>
    </row>
    <row r="482" spans="1:26" ht="15.75" customHeight="1">
      <c r="A482" s="523"/>
      <c r="B482" s="523"/>
      <c r="C482" s="523"/>
      <c r="D482" s="523"/>
      <c r="E482" s="523"/>
      <c r="F482" s="523"/>
      <c r="G482" s="523"/>
      <c r="H482" s="524"/>
      <c r="I482" s="523"/>
      <c r="J482" s="523"/>
      <c r="K482" s="523"/>
      <c r="L482" s="523"/>
      <c r="M482" s="523"/>
      <c r="N482" s="523"/>
      <c r="O482" s="523"/>
      <c r="P482" s="523"/>
      <c r="Q482" s="523"/>
      <c r="R482" s="523"/>
      <c r="S482" s="523"/>
      <c r="T482" s="523"/>
      <c r="U482" s="523"/>
      <c r="V482" s="523"/>
      <c r="W482" s="523"/>
      <c r="X482" s="523"/>
      <c r="Y482" s="523"/>
      <c r="Z482" s="523"/>
    </row>
    <row r="483" spans="1:26" ht="15.75" customHeight="1">
      <c r="A483" s="523"/>
      <c r="B483" s="523"/>
      <c r="C483" s="523"/>
      <c r="D483" s="523"/>
      <c r="E483" s="523"/>
      <c r="F483" s="523"/>
      <c r="G483" s="523"/>
      <c r="H483" s="524"/>
      <c r="I483" s="523"/>
      <c r="J483" s="523"/>
      <c r="K483" s="523"/>
      <c r="L483" s="523"/>
      <c r="M483" s="523"/>
      <c r="N483" s="523"/>
      <c r="O483" s="523"/>
      <c r="P483" s="523"/>
      <c r="Q483" s="523"/>
      <c r="R483" s="523"/>
      <c r="S483" s="523"/>
      <c r="T483" s="523"/>
      <c r="U483" s="523"/>
      <c r="V483" s="523"/>
      <c r="W483" s="523"/>
      <c r="X483" s="523"/>
      <c r="Y483" s="523"/>
      <c r="Z483" s="523"/>
    </row>
    <row r="484" spans="1:26" ht="15.75" customHeight="1">
      <c r="A484" s="523"/>
      <c r="B484" s="523"/>
      <c r="C484" s="523"/>
      <c r="D484" s="523"/>
      <c r="E484" s="523"/>
      <c r="F484" s="523"/>
      <c r="G484" s="523"/>
      <c r="H484" s="524"/>
      <c r="I484" s="523"/>
      <c r="J484" s="523"/>
      <c r="K484" s="523"/>
      <c r="L484" s="523"/>
      <c r="M484" s="523"/>
      <c r="N484" s="523"/>
      <c r="O484" s="523"/>
      <c r="P484" s="523"/>
      <c r="Q484" s="523"/>
      <c r="R484" s="523"/>
      <c r="S484" s="523"/>
      <c r="T484" s="523"/>
      <c r="U484" s="523"/>
      <c r="V484" s="523"/>
      <c r="W484" s="523"/>
      <c r="X484" s="523"/>
      <c r="Y484" s="523"/>
      <c r="Z484" s="523"/>
    </row>
    <row r="485" spans="1:26" ht="15.75" customHeight="1">
      <c r="A485" s="523"/>
      <c r="B485" s="523"/>
      <c r="C485" s="523"/>
      <c r="D485" s="523"/>
      <c r="E485" s="523"/>
      <c r="F485" s="523"/>
      <c r="G485" s="523"/>
      <c r="H485" s="524"/>
      <c r="I485" s="523"/>
      <c r="J485" s="523"/>
      <c r="K485" s="523"/>
      <c r="L485" s="523"/>
      <c r="M485" s="523"/>
      <c r="N485" s="523"/>
      <c r="O485" s="523"/>
      <c r="P485" s="523"/>
      <c r="Q485" s="523"/>
      <c r="R485" s="523"/>
      <c r="S485" s="523"/>
      <c r="T485" s="523"/>
      <c r="U485" s="523"/>
      <c r="V485" s="523"/>
      <c r="W485" s="523"/>
      <c r="X485" s="523"/>
      <c r="Y485" s="523"/>
      <c r="Z485" s="523"/>
    </row>
    <row r="486" spans="1:26" ht="15.75" customHeight="1">
      <c r="A486" s="523"/>
      <c r="B486" s="523"/>
      <c r="C486" s="523"/>
      <c r="D486" s="523"/>
      <c r="E486" s="523"/>
      <c r="F486" s="523"/>
      <c r="G486" s="523"/>
      <c r="H486" s="524"/>
      <c r="I486" s="523"/>
      <c r="J486" s="523"/>
      <c r="K486" s="523"/>
      <c r="L486" s="523"/>
      <c r="M486" s="523"/>
      <c r="N486" s="523"/>
      <c r="O486" s="523"/>
      <c r="P486" s="523"/>
      <c r="Q486" s="523"/>
      <c r="R486" s="523"/>
      <c r="S486" s="523"/>
      <c r="T486" s="523"/>
      <c r="U486" s="523"/>
      <c r="V486" s="523"/>
      <c r="W486" s="523"/>
      <c r="X486" s="523"/>
      <c r="Y486" s="523"/>
      <c r="Z486" s="523"/>
    </row>
    <row r="487" spans="1:26" ht="15.75" customHeight="1">
      <c r="A487" s="523"/>
      <c r="B487" s="523"/>
      <c r="C487" s="523"/>
      <c r="D487" s="523"/>
      <c r="E487" s="523"/>
      <c r="F487" s="523"/>
      <c r="G487" s="523"/>
      <c r="H487" s="524"/>
      <c r="I487" s="523"/>
      <c r="J487" s="523"/>
      <c r="K487" s="523"/>
      <c r="L487" s="523"/>
      <c r="M487" s="523"/>
      <c r="N487" s="523"/>
      <c r="O487" s="523"/>
      <c r="P487" s="523"/>
      <c r="Q487" s="523"/>
      <c r="R487" s="523"/>
      <c r="S487" s="523"/>
      <c r="T487" s="523"/>
      <c r="U487" s="523"/>
      <c r="V487" s="523"/>
      <c r="W487" s="523"/>
      <c r="X487" s="523"/>
      <c r="Y487" s="523"/>
      <c r="Z487" s="523"/>
    </row>
    <row r="488" spans="1:26" ht="15.75" customHeight="1">
      <c r="A488" s="523"/>
      <c r="B488" s="523"/>
      <c r="C488" s="523"/>
      <c r="D488" s="523"/>
      <c r="E488" s="523"/>
      <c r="F488" s="523"/>
      <c r="G488" s="523"/>
      <c r="H488" s="524"/>
      <c r="I488" s="523"/>
      <c r="J488" s="523"/>
      <c r="K488" s="523"/>
      <c r="L488" s="523"/>
      <c r="M488" s="523"/>
      <c r="N488" s="523"/>
      <c r="O488" s="523"/>
      <c r="P488" s="523"/>
      <c r="Q488" s="523"/>
      <c r="R488" s="523"/>
      <c r="S488" s="523"/>
      <c r="T488" s="523"/>
      <c r="U488" s="523"/>
      <c r="V488" s="523"/>
      <c r="W488" s="523"/>
      <c r="X488" s="523"/>
      <c r="Y488" s="523"/>
      <c r="Z488" s="523"/>
    </row>
    <row r="489" spans="1:26" ht="15.75" customHeight="1">
      <c r="A489" s="523"/>
      <c r="B489" s="523"/>
      <c r="C489" s="523"/>
      <c r="D489" s="523"/>
      <c r="E489" s="523"/>
      <c r="F489" s="523"/>
      <c r="G489" s="523"/>
      <c r="H489" s="524"/>
      <c r="I489" s="523"/>
      <c r="J489" s="523"/>
      <c r="K489" s="523"/>
      <c r="L489" s="523"/>
      <c r="M489" s="523"/>
      <c r="N489" s="523"/>
      <c r="O489" s="523"/>
      <c r="P489" s="523"/>
      <c r="Q489" s="523"/>
      <c r="R489" s="523"/>
      <c r="S489" s="523"/>
      <c r="T489" s="523"/>
      <c r="U489" s="523"/>
      <c r="V489" s="523"/>
      <c r="W489" s="523"/>
      <c r="X489" s="523"/>
      <c r="Y489" s="523"/>
      <c r="Z489" s="523"/>
    </row>
    <row r="490" spans="1:26" ht="15.75" customHeight="1">
      <c r="A490" s="523"/>
      <c r="B490" s="523"/>
      <c r="C490" s="523"/>
      <c r="D490" s="523"/>
      <c r="E490" s="523"/>
      <c r="F490" s="523"/>
      <c r="G490" s="523"/>
      <c r="H490" s="524"/>
      <c r="I490" s="523"/>
      <c r="J490" s="523"/>
      <c r="K490" s="523"/>
      <c r="L490" s="523"/>
      <c r="M490" s="523"/>
      <c r="N490" s="523"/>
      <c r="O490" s="523"/>
      <c r="P490" s="523"/>
      <c r="Q490" s="523"/>
      <c r="R490" s="523"/>
      <c r="S490" s="523"/>
      <c r="T490" s="523"/>
      <c r="U490" s="523"/>
      <c r="V490" s="523"/>
      <c r="W490" s="523"/>
      <c r="X490" s="523"/>
      <c r="Y490" s="523"/>
      <c r="Z490" s="523"/>
    </row>
    <row r="491" spans="1:26" ht="15.75" customHeight="1">
      <c r="A491" s="523"/>
      <c r="B491" s="523"/>
      <c r="C491" s="523"/>
      <c r="D491" s="523"/>
      <c r="E491" s="523"/>
      <c r="F491" s="523"/>
      <c r="G491" s="523"/>
      <c r="H491" s="524"/>
      <c r="I491" s="523"/>
      <c r="J491" s="523"/>
      <c r="K491" s="523"/>
      <c r="L491" s="523"/>
      <c r="M491" s="523"/>
      <c r="N491" s="523"/>
      <c r="O491" s="523"/>
      <c r="P491" s="523"/>
      <c r="Q491" s="523"/>
      <c r="R491" s="523"/>
      <c r="S491" s="523"/>
      <c r="T491" s="523"/>
      <c r="U491" s="523"/>
      <c r="V491" s="523"/>
      <c r="W491" s="523"/>
      <c r="X491" s="523"/>
      <c r="Y491" s="523"/>
      <c r="Z491" s="523"/>
    </row>
    <row r="492" spans="1:26" ht="15.75" customHeight="1">
      <c r="A492" s="523"/>
      <c r="B492" s="523"/>
      <c r="C492" s="523"/>
      <c r="D492" s="523"/>
      <c r="E492" s="523"/>
      <c r="F492" s="523"/>
      <c r="G492" s="523"/>
      <c r="H492" s="524"/>
      <c r="I492" s="523"/>
      <c r="J492" s="523"/>
      <c r="K492" s="523"/>
      <c r="L492" s="523"/>
      <c r="M492" s="523"/>
      <c r="N492" s="523"/>
      <c r="O492" s="523"/>
      <c r="P492" s="523"/>
      <c r="Q492" s="523"/>
      <c r="R492" s="523"/>
      <c r="S492" s="523"/>
      <c r="T492" s="523"/>
      <c r="U492" s="523"/>
      <c r="V492" s="523"/>
      <c r="W492" s="523"/>
      <c r="X492" s="523"/>
      <c r="Y492" s="523"/>
      <c r="Z492" s="523"/>
    </row>
    <row r="493" spans="1:26" ht="15.75" customHeight="1">
      <c r="A493" s="523"/>
      <c r="B493" s="523"/>
      <c r="C493" s="523"/>
      <c r="D493" s="523"/>
      <c r="E493" s="523"/>
      <c r="F493" s="523"/>
      <c r="G493" s="523"/>
      <c r="H493" s="524"/>
      <c r="I493" s="523"/>
      <c r="J493" s="523"/>
      <c r="K493" s="523"/>
      <c r="L493" s="523"/>
      <c r="M493" s="523"/>
      <c r="N493" s="523"/>
      <c r="O493" s="523"/>
      <c r="P493" s="523"/>
      <c r="Q493" s="523"/>
      <c r="R493" s="523"/>
      <c r="S493" s="523"/>
      <c r="T493" s="523"/>
      <c r="U493" s="523"/>
      <c r="V493" s="523"/>
      <c r="W493" s="523"/>
      <c r="X493" s="523"/>
      <c r="Y493" s="523"/>
      <c r="Z493" s="523"/>
    </row>
    <row r="494" spans="1:26" ht="15.75" customHeight="1">
      <c r="A494" s="523"/>
      <c r="B494" s="523"/>
      <c r="C494" s="523"/>
      <c r="D494" s="523"/>
      <c r="E494" s="523"/>
      <c r="F494" s="523"/>
      <c r="G494" s="523"/>
      <c r="H494" s="524"/>
      <c r="I494" s="523"/>
      <c r="J494" s="523"/>
      <c r="K494" s="523"/>
      <c r="L494" s="523"/>
      <c r="M494" s="523"/>
      <c r="N494" s="523"/>
      <c r="O494" s="523"/>
      <c r="P494" s="523"/>
      <c r="Q494" s="523"/>
      <c r="R494" s="523"/>
      <c r="S494" s="523"/>
      <c r="T494" s="523"/>
      <c r="U494" s="523"/>
      <c r="V494" s="523"/>
      <c r="W494" s="523"/>
      <c r="X494" s="523"/>
      <c r="Y494" s="523"/>
      <c r="Z494" s="523"/>
    </row>
    <row r="495" spans="1:26" ht="15.75" customHeight="1">
      <c r="A495" s="523"/>
      <c r="B495" s="523"/>
      <c r="C495" s="523"/>
      <c r="D495" s="523"/>
      <c r="E495" s="523"/>
      <c r="F495" s="523"/>
      <c r="G495" s="523"/>
      <c r="H495" s="524"/>
      <c r="I495" s="523"/>
      <c r="J495" s="523"/>
      <c r="K495" s="523"/>
      <c r="L495" s="523"/>
      <c r="M495" s="523"/>
      <c r="N495" s="523"/>
      <c r="O495" s="523"/>
      <c r="P495" s="523"/>
      <c r="Q495" s="523"/>
      <c r="R495" s="523"/>
      <c r="S495" s="523"/>
      <c r="T495" s="523"/>
      <c r="U495" s="523"/>
      <c r="V495" s="523"/>
      <c r="W495" s="523"/>
      <c r="X495" s="523"/>
      <c r="Y495" s="523"/>
      <c r="Z495" s="523"/>
    </row>
    <row r="496" spans="1:26" ht="15.75" customHeight="1">
      <c r="A496" s="523"/>
      <c r="B496" s="523"/>
      <c r="C496" s="523"/>
      <c r="D496" s="523"/>
      <c r="E496" s="523"/>
      <c r="F496" s="523"/>
      <c r="G496" s="523"/>
      <c r="H496" s="524"/>
      <c r="I496" s="523"/>
      <c r="J496" s="523"/>
      <c r="K496" s="523"/>
      <c r="L496" s="523"/>
      <c r="M496" s="523"/>
      <c r="N496" s="523"/>
      <c r="O496" s="523"/>
      <c r="P496" s="523"/>
      <c r="Q496" s="523"/>
      <c r="R496" s="523"/>
      <c r="S496" s="523"/>
      <c r="T496" s="523"/>
      <c r="U496" s="523"/>
      <c r="V496" s="523"/>
      <c r="W496" s="523"/>
      <c r="X496" s="523"/>
      <c r="Y496" s="523"/>
      <c r="Z496" s="523"/>
    </row>
    <row r="497" spans="1:26" ht="15.75" customHeight="1">
      <c r="A497" s="523"/>
      <c r="B497" s="523"/>
      <c r="C497" s="523"/>
      <c r="D497" s="523"/>
      <c r="E497" s="523"/>
      <c r="F497" s="523"/>
      <c r="G497" s="523"/>
      <c r="H497" s="524"/>
      <c r="I497" s="523"/>
      <c r="J497" s="523"/>
      <c r="K497" s="523"/>
      <c r="L497" s="523"/>
      <c r="M497" s="523"/>
      <c r="N497" s="523"/>
      <c r="O497" s="523"/>
      <c r="P497" s="523"/>
      <c r="Q497" s="523"/>
      <c r="R497" s="523"/>
      <c r="S497" s="523"/>
      <c r="T497" s="523"/>
      <c r="U497" s="523"/>
      <c r="V497" s="523"/>
      <c r="W497" s="523"/>
      <c r="X497" s="523"/>
      <c r="Y497" s="523"/>
      <c r="Z497" s="523"/>
    </row>
    <row r="498" spans="1:26" ht="15.75" customHeight="1">
      <c r="A498" s="523"/>
      <c r="B498" s="523"/>
      <c r="C498" s="523"/>
      <c r="D498" s="523"/>
      <c r="E498" s="523"/>
      <c r="F498" s="523"/>
      <c r="G498" s="523"/>
      <c r="H498" s="524"/>
      <c r="I498" s="523"/>
      <c r="J498" s="523"/>
      <c r="K498" s="523"/>
      <c r="L498" s="523"/>
      <c r="M498" s="523"/>
      <c r="N498" s="523"/>
      <c r="O498" s="523"/>
      <c r="P498" s="523"/>
      <c r="Q498" s="523"/>
      <c r="R498" s="523"/>
      <c r="S498" s="523"/>
      <c r="T498" s="523"/>
      <c r="U498" s="523"/>
      <c r="V498" s="523"/>
      <c r="W498" s="523"/>
      <c r="X498" s="523"/>
      <c r="Y498" s="523"/>
      <c r="Z498" s="523"/>
    </row>
    <row r="499" spans="1:26" ht="15.75" customHeight="1">
      <c r="A499" s="523"/>
      <c r="B499" s="523"/>
      <c r="C499" s="523"/>
      <c r="D499" s="523"/>
      <c r="E499" s="523"/>
      <c r="F499" s="523"/>
      <c r="G499" s="523"/>
      <c r="H499" s="524"/>
      <c r="I499" s="523"/>
      <c r="J499" s="523"/>
      <c r="K499" s="523"/>
      <c r="L499" s="523"/>
      <c r="M499" s="523"/>
      <c r="N499" s="523"/>
      <c r="O499" s="523"/>
      <c r="P499" s="523"/>
      <c r="Q499" s="523"/>
      <c r="R499" s="523"/>
      <c r="S499" s="523"/>
      <c r="T499" s="523"/>
      <c r="U499" s="523"/>
      <c r="V499" s="523"/>
      <c r="W499" s="523"/>
      <c r="X499" s="523"/>
      <c r="Y499" s="523"/>
      <c r="Z499" s="523"/>
    </row>
    <row r="500" spans="1:26" ht="15.75" customHeight="1">
      <c r="A500" s="523"/>
      <c r="B500" s="523"/>
      <c r="C500" s="523"/>
      <c r="D500" s="523"/>
      <c r="E500" s="523"/>
      <c r="F500" s="523"/>
      <c r="G500" s="523"/>
      <c r="H500" s="524"/>
      <c r="I500" s="523"/>
      <c r="J500" s="523"/>
      <c r="K500" s="523"/>
      <c r="L500" s="523"/>
      <c r="M500" s="523"/>
      <c r="N500" s="523"/>
      <c r="O500" s="523"/>
      <c r="P500" s="523"/>
      <c r="Q500" s="523"/>
      <c r="R500" s="523"/>
      <c r="S500" s="523"/>
      <c r="T500" s="523"/>
      <c r="U500" s="523"/>
      <c r="V500" s="523"/>
      <c r="W500" s="523"/>
      <c r="X500" s="523"/>
      <c r="Y500" s="523"/>
      <c r="Z500" s="523"/>
    </row>
    <row r="501" spans="1:26" ht="15.75" customHeight="1">
      <c r="A501" s="523"/>
      <c r="B501" s="523"/>
      <c r="C501" s="523"/>
      <c r="D501" s="523"/>
      <c r="E501" s="523"/>
      <c r="F501" s="523"/>
      <c r="G501" s="523"/>
      <c r="H501" s="524"/>
      <c r="I501" s="523"/>
      <c r="J501" s="523"/>
      <c r="K501" s="523"/>
      <c r="L501" s="523"/>
      <c r="M501" s="523"/>
      <c r="N501" s="523"/>
      <c r="O501" s="523"/>
      <c r="P501" s="523"/>
      <c r="Q501" s="523"/>
      <c r="R501" s="523"/>
      <c r="S501" s="523"/>
      <c r="T501" s="523"/>
      <c r="U501" s="523"/>
      <c r="V501" s="523"/>
      <c r="W501" s="523"/>
      <c r="X501" s="523"/>
      <c r="Y501" s="523"/>
      <c r="Z501" s="523"/>
    </row>
    <row r="502" spans="1:26" ht="15.75" customHeight="1">
      <c r="A502" s="523"/>
      <c r="B502" s="523"/>
      <c r="C502" s="523"/>
      <c r="D502" s="523"/>
      <c r="E502" s="523"/>
      <c r="F502" s="523"/>
      <c r="G502" s="523"/>
      <c r="H502" s="524"/>
      <c r="I502" s="523"/>
      <c r="J502" s="523"/>
      <c r="K502" s="523"/>
      <c r="L502" s="523"/>
      <c r="M502" s="523"/>
      <c r="N502" s="523"/>
      <c r="O502" s="523"/>
      <c r="P502" s="523"/>
      <c r="Q502" s="523"/>
      <c r="R502" s="523"/>
      <c r="S502" s="523"/>
      <c r="T502" s="523"/>
      <c r="U502" s="523"/>
      <c r="V502" s="523"/>
      <c r="W502" s="523"/>
      <c r="X502" s="523"/>
      <c r="Y502" s="523"/>
      <c r="Z502" s="523"/>
    </row>
    <row r="503" spans="1:26" ht="15.75" customHeight="1">
      <c r="A503" s="523"/>
      <c r="B503" s="523"/>
      <c r="C503" s="523"/>
      <c r="D503" s="523"/>
      <c r="E503" s="523"/>
      <c r="F503" s="523"/>
      <c r="G503" s="523"/>
      <c r="H503" s="524"/>
      <c r="I503" s="523"/>
      <c r="J503" s="523"/>
      <c r="K503" s="523"/>
      <c r="L503" s="523"/>
      <c r="M503" s="523"/>
      <c r="N503" s="523"/>
      <c r="O503" s="523"/>
      <c r="P503" s="523"/>
      <c r="Q503" s="523"/>
      <c r="R503" s="523"/>
      <c r="S503" s="523"/>
      <c r="T503" s="523"/>
      <c r="U503" s="523"/>
      <c r="V503" s="523"/>
      <c r="W503" s="523"/>
      <c r="X503" s="523"/>
      <c r="Y503" s="523"/>
      <c r="Z503" s="523"/>
    </row>
    <row r="504" spans="1:26" ht="15.75" customHeight="1">
      <c r="A504" s="523"/>
      <c r="B504" s="523"/>
      <c r="C504" s="523"/>
      <c r="D504" s="523"/>
      <c r="E504" s="523"/>
      <c r="F504" s="523"/>
      <c r="G504" s="523"/>
      <c r="H504" s="524"/>
      <c r="I504" s="523"/>
      <c r="J504" s="523"/>
      <c r="K504" s="523"/>
      <c r="L504" s="523"/>
      <c r="M504" s="523"/>
      <c r="N504" s="523"/>
      <c r="O504" s="523"/>
      <c r="P504" s="523"/>
      <c r="Q504" s="523"/>
      <c r="R504" s="523"/>
      <c r="S504" s="523"/>
      <c r="T504" s="523"/>
      <c r="U504" s="523"/>
      <c r="V504" s="523"/>
      <c r="W504" s="523"/>
      <c r="X504" s="523"/>
      <c r="Y504" s="523"/>
      <c r="Z504" s="523"/>
    </row>
    <row r="505" spans="1:26" ht="15.75" customHeight="1">
      <c r="A505" s="523"/>
      <c r="B505" s="523"/>
      <c r="C505" s="523"/>
      <c r="D505" s="523"/>
      <c r="E505" s="523"/>
      <c r="F505" s="523"/>
      <c r="G505" s="523"/>
      <c r="H505" s="524"/>
      <c r="I505" s="523"/>
      <c r="J505" s="523"/>
      <c r="K505" s="523"/>
      <c r="L505" s="523"/>
      <c r="M505" s="523"/>
      <c r="N505" s="523"/>
      <c r="O505" s="523"/>
      <c r="P505" s="523"/>
      <c r="Q505" s="523"/>
      <c r="R505" s="523"/>
      <c r="S505" s="523"/>
      <c r="T505" s="523"/>
      <c r="U505" s="523"/>
      <c r="V505" s="523"/>
      <c r="W505" s="523"/>
      <c r="X505" s="523"/>
      <c r="Y505" s="523"/>
      <c r="Z505" s="523"/>
    </row>
    <row r="506" spans="1:26" ht="15.75" customHeight="1">
      <c r="A506" s="523"/>
      <c r="B506" s="523"/>
      <c r="C506" s="523"/>
      <c r="D506" s="523"/>
      <c r="E506" s="523"/>
      <c r="F506" s="523"/>
      <c r="G506" s="523"/>
      <c r="H506" s="524"/>
      <c r="I506" s="523"/>
      <c r="J506" s="523"/>
      <c r="K506" s="523"/>
      <c r="L506" s="523"/>
      <c r="M506" s="523"/>
      <c r="N506" s="523"/>
      <c r="O506" s="523"/>
      <c r="P506" s="523"/>
      <c r="Q506" s="523"/>
      <c r="R506" s="523"/>
      <c r="S506" s="523"/>
      <c r="T506" s="523"/>
      <c r="U506" s="523"/>
      <c r="V506" s="523"/>
      <c r="W506" s="523"/>
      <c r="X506" s="523"/>
      <c r="Y506" s="523"/>
      <c r="Z506" s="523"/>
    </row>
    <row r="507" spans="1:26" ht="15.75" customHeight="1">
      <c r="A507" s="523"/>
      <c r="B507" s="523"/>
      <c r="C507" s="523"/>
      <c r="D507" s="523"/>
      <c r="E507" s="523"/>
      <c r="F507" s="523"/>
      <c r="G507" s="523"/>
      <c r="H507" s="524"/>
      <c r="I507" s="523"/>
      <c r="J507" s="523"/>
      <c r="K507" s="523"/>
      <c r="L507" s="523"/>
      <c r="M507" s="523"/>
      <c r="N507" s="523"/>
      <c r="O507" s="523"/>
      <c r="P507" s="523"/>
      <c r="Q507" s="523"/>
      <c r="R507" s="523"/>
      <c r="S507" s="523"/>
      <c r="T507" s="523"/>
      <c r="U507" s="523"/>
      <c r="V507" s="523"/>
      <c r="W507" s="523"/>
      <c r="X507" s="523"/>
      <c r="Y507" s="523"/>
      <c r="Z507" s="523"/>
    </row>
    <row r="508" spans="1:26" ht="15.75" customHeight="1">
      <c r="A508" s="523"/>
      <c r="B508" s="523"/>
      <c r="C508" s="523"/>
      <c r="D508" s="523"/>
      <c r="E508" s="523"/>
      <c r="F508" s="523"/>
      <c r="G508" s="523"/>
      <c r="H508" s="524"/>
      <c r="I508" s="523"/>
      <c r="J508" s="523"/>
      <c r="K508" s="523"/>
      <c r="L508" s="523"/>
      <c r="M508" s="523"/>
      <c r="N508" s="523"/>
      <c r="O508" s="523"/>
      <c r="P508" s="523"/>
      <c r="Q508" s="523"/>
      <c r="R508" s="523"/>
      <c r="S508" s="523"/>
      <c r="T508" s="523"/>
      <c r="U508" s="523"/>
      <c r="V508" s="523"/>
      <c r="W508" s="523"/>
      <c r="X508" s="523"/>
      <c r="Y508" s="523"/>
      <c r="Z508" s="523"/>
    </row>
    <row r="509" spans="1:26" ht="15.75" customHeight="1">
      <c r="A509" s="523"/>
      <c r="B509" s="523"/>
      <c r="C509" s="523"/>
      <c r="D509" s="523"/>
      <c r="E509" s="523"/>
      <c r="F509" s="523"/>
      <c r="G509" s="523"/>
      <c r="H509" s="524"/>
      <c r="I509" s="523"/>
      <c r="J509" s="523"/>
      <c r="K509" s="523"/>
      <c r="L509" s="523"/>
      <c r="M509" s="523"/>
      <c r="N509" s="523"/>
      <c r="O509" s="523"/>
      <c r="P509" s="523"/>
      <c r="Q509" s="523"/>
      <c r="R509" s="523"/>
      <c r="S509" s="523"/>
      <c r="T509" s="523"/>
      <c r="U509" s="523"/>
      <c r="V509" s="523"/>
      <c r="W509" s="523"/>
      <c r="X509" s="523"/>
      <c r="Y509" s="523"/>
      <c r="Z509" s="523"/>
    </row>
    <row r="510" spans="1:26" ht="15.75" customHeight="1">
      <c r="A510" s="523"/>
      <c r="B510" s="523"/>
      <c r="C510" s="523"/>
      <c r="D510" s="523"/>
      <c r="E510" s="523"/>
      <c r="F510" s="523"/>
      <c r="G510" s="523"/>
      <c r="H510" s="524"/>
      <c r="I510" s="523"/>
      <c r="J510" s="523"/>
      <c r="K510" s="523"/>
      <c r="L510" s="523"/>
      <c r="M510" s="523"/>
      <c r="N510" s="523"/>
      <c r="O510" s="523"/>
      <c r="P510" s="523"/>
      <c r="Q510" s="523"/>
      <c r="R510" s="523"/>
      <c r="S510" s="523"/>
      <c r="T510" s="523"/>
      <c r="U510" s="523"/>
      <c r="V510" s="523"/>
      <c r="W510" s="523"/>
      <c r="X510" s="523"/>
      <c r="Y510" s="523"/>
      <c r="Z510" s="523"/>
    </row>
    <row r="511" spans="1:26" ht="15.75" customHeight="1">
      <c r="A511" s="523"/>
      <c r="B511" s="523"/>
      <c r="C511" s="523"/>
      <c r="D511" s="523"/>
      <c r="E511" s="523"/>
      <c r="F511" s="523"/>
      <c r="G511" s="523"/>
      <c r="H511" s="524"/>
      <c r="I511" s="523"/>
      <c r="J511" s="523"/>
      <c r="K511" s="523"/>
      <c r="L511" s="523"/>
      <c r="M511" s="523"/>
      <c r="N511" s="523"/>
      <c r="O511" s="523"/>
      <c r="P511" s="523"/>
      <c r="Q511" s="523"/>
      <c r="R511" s="523"/>
      <c r="S511" s="523"/>
      <c r="T511" s="523"/>
      <c r="U511" s="523"/>
      <c r="V511" s="523"/>
      <c r="W511" s="523"/>
      <c r="X511" s="523"/>
      <c r="Y511" s="523"/>
      <c r="Z511" s="523"/>
    </row>
    <row r="512" spans="1:26" ht="15.75" customHeight="1">
      <c r="A512" s="523"/>
      <c r="B512" s="523"/>
      <c r="C512" s="523"/>
      <c r="D512" s="523"/>
      <c r="E512" s="523"/>
      <c r="F512" s="523"/>
      <c r="G512" s="523"/>
      <c r="H512" s="524"/>
      <c r="I512" s="523"/>
      <c r="J512" s="523"/>
      <c r="K512" s="523"/>
      <c r="L512" s="523"/>
      <c r="M512" s="523"/>
      <c r="N512" s="523"/>
      <c r="O512" s="523"/>
      <c r="P512" s="523"/>
      <c r="Q512" s="523"/>
      <c r="R512" s="523"/>
      <c r="S512" s="523"/>
      <c r="T512" s="523"/>
      <c r="U512" s="523"/>
      <c r="V512" s="523"/>
      <c r="W512" s="523"/>
      <c r="X512" s="523"/>
      <c r="Y512" s="523"/>
      <c r="Z512" s="523"/>
    </row>
    <row r="513" spans="1:26" ht="15.75" customHeight="1">
      <c r="A513" s="523"/>
      <c r="B513" s="523"/>
      <c r="C513" s="523"/>
      <c r="D513" s="523"/>
      <c r="E513" s="523"/>
      <c r="F513" s="523"/>
      <c r="G513" s="523"/>
      <c r="H513" s="524"/>
      <c r="I513" s="523"/>
      <c r="J513" s="523"/>
      <c r="K513" s="523"/>
      <c r="L513" s="523"/>
      <c r="M513" s="523"/>
      <c r="N513" s="523"/>
      <c r="O513" s="523"/>
      <c r="P513" s="523"/>
      <c r="Q513" s="523"/>
      <c r="R513" s="523"/>
      <c r="S513" s="523"/>
      <c r="T513" s="523"/>
      <c r="U513" s="523"/>
      <c r="V513" s="523"/>
      <c r="W513" s="523"/>
      <c r="X513" s="523"/>
      <c r="Y513" s="523"/>
      <c r="Z513" s="523"/>
    </row>
    <row r="514" spans="1:26" ht="15.75" customHeight="1">
      <c r="A514" s="523"/>
      <c r="B514" s="523"/>
      <c r="C514" s="523"/>
      <c r="D514" s="523"/>
      <c r="E514" s="523"/>
      <c r="F514" s="523"/>
      <c r="G514" s="523"/>
      <c r="H514" s="524"/>
      <c r="I514" s="523"/>
      <c r="J514" s="523"/>
      <c r="K514" s="523"/>
      <c r="L514" s="523"/>
      <c r="M514" s="523"/>
      <c r="N514" s="523"/>
      <c r="O514" s="523"/>
      <c r="P514" s="523"/>
      <c r="Q514" s="523"/>
      <c r="R514" s="523"/>
      <c r="S514" s="523"/>
      <c r="T514" s="523"/>
      <c r="U514" s="523"/>
      <c r="V514" s="523"/>
      <c r="W514" s="523"/>
      <c r="X514" s="523"/>
      <c r="Y514" s="523"/>
      <c r="Z514" s="523"/>
    </row>
    <row r="515" spans="1:26" ht="15.75" customHeight="1">
      <c r="A515" s="523"/>
      <c r="B515" s="523"/>
      <c r="C515" s="523"/>
      <c r="D515" s="523"/>
      <c r="E515" s="523"/>
      <c r="F515" s="523"/>
      <c r="G515" s="523"/>
      <c r="H515" s="524"/>
      <c r="I515" s="523"/>
      <c r="J515" s="523"/>
      <c r="K515" s="523"/>
      <c r="L515" s="523"/>
      <c r="M515" s="523"/>
      <c r="N515" s="523"/>
      <c r="O515" s="523"/>
      <c r="P515" s="523"/>
      <c r="Q515" s="523"/>
      <c r="R515" s="523"/>
      <c r="S515" s="523"/>
      <c r="T515" s="523"/>
      <c r="U515" s="523"/>
      <c r="V515" s="523"/>
      <c r="W515" s="523"/>
      <c r="X515" s="523"/>
      <c r="Y515" s="523"/>
      <c r="Z515" s="523"/>
    </row>
    <row r="516" spans="1:26" ht="15.75" customHeight="1">
      <c r="A516" s="523"/>
      <c r="B516" s="523"/>
      <c r="C516" s="523"/>
      <c r="D516" s="523"/>
      <c r="E516" s="523"/>
      <c r="F516" s="523"/>
      <c r="G516" s="523"/>
      <c r="H516" s="524"/>
      <c r="I516" s="523"/>
      <c r="J516" s="523"/>
      <c r="K516" s="523"/>
      <c r="L516" s="523"/>
      <c r="M516" s="523"/>
      <c r="N516" s="523"/>
      <c r="O516" s="523"/>
      <c r="P516" s="523"/>
      <c r="Q516" s="523"/>
      <c r="R516" s="523"/>
      <c r="S516" s="523"/>
      <c r="T516" s="523"/>
      <c r="U516" s="523"/>
      <c r="V516" s="523"/>
      <c r="W516" s="523"/>
      <c r="X516" s="523"/>
      <c r="Y516" s="523"/>
      <c r="Z516" s="523"/>
    </row>
    <row r="517" spans="1:26" ht="15.75" customHeight="1">
      <c r="A517" s="523"/>
      <c r="B517" s="523"/>
      <c r="C517" s="523"/>
      <c r="D517" s="523"/>
      <c r="E517" s="523"/>
      <c r="F517" s="523"/>
      <c r="G517" s="523"/>
      <c r="H517" s="524"/>
      <c r="I517" s="523"/>
      <c r="J517" s="523"/>
      <c r="K517" s="523"/>
      <c r="L517" s="523"/>
      <c r="M517" s="523"/>
      <c r="N517" s="523"/>
      <c r="O517" s="523"/>
      <c r="P517" s="523"/>
      <c r="Q517" s="523"/>
      <c r="R517" s="523"/>
      <c r="S517" s="523"/>
      <c r="T517" s="523"/>
      <c r="U517" s="523"/>
      <c r="V517" s="523"/>
      <c r="W517" s="523"/>
      <c r="X517" s="523"/>
      <c r="Y517" s="523"/>
      <c r="Z517" s="523"/>
    </row>
    <row r="518" spans="1:26" ht="15.75" customHeight="1">
      <c r="A518" s="523"/>
      <c r="B518" s="523"/>
      <c r="C518" s="523"/>
      <c r="D518" s="523"/>
      <c r="E518" s="523"/>
      <c r="F518" s="523"/>
      <c r="G518" s="523"/>
      <c r="H518" s="524"/>
      <c r="I518" s="523"/>
      <c r="J518" s="523"/>
      <c r="K518" s="523"/>
      <c r="L518" s="523"/>
      <c r="M518" s="523"/>
      <c r="N518" s="523"/>
      <c r="O518" s="523"/>
      <c r="P518" s="523"/>
      <c r="Q518" s="523"/>
      <c r="R518" s="523"/>
      <c r="S518" s="523"/>
      <c r="T518" s="523"/>
      <c r="U518" s="523"/>
      <c r="V518" s="523"/>
      <c r="W518" s="523"/>
      <c r="X518" s="523"/>
      <c r="Y518" s="523"/>
      <c r="Z518" s="523"/>
    </row>
    <row r="519" spans="1:26" ht="15.75" customHeight="1">
      <c r="A519" s="523"/>
      <c r="B519" s="523"/>
      <c r="C519" s="523"/>
      <c r="D519" s="523"/>
      <c r="E519" s="523"/>
      <c r="F519" s="523"/>
      <c r="G519" s="523"/>
      <c r="H519" s="524"/>
      <c r="I519" s="523"/>
      <c r="J519" s="523"/>
      <c r="K519" s="523"/>
      <c r="L519" s="523"/>
      <c r="M519" s="523"/>
      <c r="N519" s="523"/>
      <c r="O519" s="523"/>
      <c r="P519" s="523"/>
      <c r="Q519" s="523"/>
      <c r="R519" s="523"/>
      <c r="S519" s="523"/>
      <c r="T519" s="523"/>
      <c r="U519" s="523"/>
      <c r="V519" s="523"/>
      <c r="W519" s="523"/>
      <c r="X519" s="523"/>
      <c r="Y519" s="523"/>
      <c r="Z519" s="523"/>
    </row>
    <row r="520" spans="1:26" ht="15.75" customHeight="1">
      <c r="A520" s="523"/>
      <c r="B520" s="523"/>
      <c r="C520" s="523"/>
      <c r="D520" s="523"/>
      <c r="E520" s="523"/>
      <c r="F520" s="523"/>
      <c r="G520" s="523"/>
      <c r="H520" s="524"/>
      <c r="I520" s="523"/>
      <c r="J520" s="523"/>
      <c r="K520" s="523"/>
      <c r="L520" s="523"/>
      <c r="M520" s="523"/>
      <c r="N520" s="523"/>
      <c r="O520" s="523"/>
      <c r="P520" s="523"/>
      <c r="Q520" s="523"/>
      <c r="R520" s="523"/>
      <c r="S520" s="523"/>
      <c r="T520" s="523"/>
      <c r="U520" s="523"/>
      <c r="V520" s="523"/>
      <c r="W520" s="523"/>
      <c r="X520" s="523"/>
      <c r="Y520" s="523"/>
      <c r="Z520" s="523"/>
    </row>
    <row r="521" spans="1:26" ht="15.75" customHeight="1">
      <c r="A521" s="523"/>
      <c r="B521" s="523"/>
      <c r="C521" s="523"/>
      <c r="D521" s="523"/>
      <c r="E521" s="523"/>
      <c r="F521" s="523"/>
      <c r="G521" s="523"/>
      <c r="H521" s="524"/>
      <c r="I521" s="523"/>
      <c r="J521" s="523"/>
      <c r="K521" s="523"/>
      <c r="L521" s="523"/>
      <c r="M521" s="523"/>
      <c r="N521" s="523"/>
      <c r="O521" s="523"/>
      <c r="P521" s="523"/>
      <c r="Q521" s="523"/>
      <c r="R521" s="523"/>
      <c r="S521" s="523"/>
      <c r="T521" s="523"/>
      <c r="U521" s="523"/>
      <c r="V521" s="523"/>
      <c r="W521" s="523"/>
      <c r="X521" s="523"/>
      <c r="Y521" s="523"/>
      <c r="Z521" s="523"/>
    </row>
    <row r="522" spans="1:26" ht="15.75" customHeight="1">
      <c r="A522" s="523"/>
      <c r="B522" s="523"/>
      <c r="C522" s="523"/>
      <c r="D522" s="523"/>
      <c r="E522" s="523"/>
      <c r="F522" s="523"/>
      <c r="G522" s="523"/>
      <c r="H522" s="524"/>
      <c r="I522" s="523"/>
      <c r="J522" s="523"/>
      <c r="K522" s="523"/>
      <c r="L522" s="523"/>
      <c r="M522" s="523"/>
      <c r="N522" s="523"/>
      <c r="O522" s="523"/>
      <c r="P522" s="523"/>
      <c r="Q522" s="523"/>
      <c r="R522" s="523"/>
      <c r="S522" s="523"/>
      <c r="T522" s="523"/>
      <c r="U522" s="523"/>
      <c r="V522" s="523"/>
      <c r="W522" s="523"/>
      <c r="X522" s="523"/>
      <c r="Y522" s="523"/>
      <c r="Z522" s="523"/>
    </row>
    <row r="523" spans="1:26" ht="15.75" customHeight="1">
      <c r="A523" s="523"/>
      <c r="B523" s="523"/>
      <c r="C523" s="523"/>
      <c r="D523" s="523"/>
      <c r="E523" s="523"/>
      <c r="F523" s="523"/>
      <c r="G523" s="523"/>
      <c r="H523" s="524"/>
      <c r="I523" s="523"/>
      <c r="J523" s="523"/>
      <c r="K523" s="523"/>
      <c r="L523" s="523"/>
      <c r="M523" s="523"/>
      <c r="N523" s="523"/>
      <c r="O523" s="523"/>
      <c r="P523" s="523"/>
      <c r="Q523" s="523"/>
      <c r="R523" s="523"/>
      <c r="S523" s="523"/>
      <c r="T523" s="523"/>
      <c r="U523" s="523"/>
      <c r="V523" s="523"/>
      <c r="W523" s="523"/>
      <c r="X523" s="523"/>
      <c r="Y523" s="523"/>
      <c r="Z523" s="523"/>
    </row>
    <row r="524" spans="1:26" ht="15.75" customHeight="1">
      <c r="A524" s="523"/>
      <c r="B524" s="523"/>
      <c r="C524" s="523"/>
      <c r="D524" s="523"/>
      <c r="E524" s="523"/>
      <c r="F524" s="523"/>
      <c r="G524" s="523"/>
      <c r="H524" s="524"/>
      <c r="I524" s="523"/>
      <c r="J524" s="523"/>
      <c r="K524" s="523"/>
      <c r="L524" s="523"/>
      <c r="M524" s="523"/>
      <c r="N524" s="523"/>
      <c r="O524" s="523"/>
      <c r="P524" s="523"/>
      <c r="Q524" s="523"/>
      <c r="R524" s="523"/>
      <c r="S524" s="523"/>
      <c r="T524" s="523"/>
      <c r="U524" s="523"/>
      <c r="V524" s="523"/>
      <c r="W524" s="523"/>
      <c r="X524" s="523"/>
      <c r="Y524" s="523"/>
      <c r="Z524" s="523"/>
    </row>
    <row r="525" spans="1:26" ht="15.75" customHeight="1">
      <c r="A525" s="523"/>
      <c r="B525" s="523"/>
      <c r="C525" s="523"/>
      <c r="D525" s="523"/>
      <c r="E525" s="523"/>
      <c r="F525" s="523"/>
      <c r="G525" s="523"/>
      <c r="H525" s="524"/>
      <c r="I525" s="523"/>
      <c r="J525" s="523"/>
      <c r="K525" s="523"/>
      <c r="L525" s="523"/>
      <c r="M525" s="523"/>
      <c r="N525" s="523"/>
      <c r="O525" s="523"/>
      <c r="P525" s="523"/>
      <c r="Q525" s="523"/>
      <c r="R525" s="523"/>
      <c r="S525" s="523"/>
      <c r="T525" s="523"/>
      <c r="U525" s="523"/>
      <c r="V525" s="523"/>
      <c r="W525" s="523"/>
      <c r="X525" s="523"/>
      <c r="Y525" s="523"/>
      <c r="Z525" s="523"/>
    </row>
    <row r="526" spans="1:26" ht="15.75" customHeight="1">
      <c r="A526" s="523"/>
      <c r="B526" s="523"/>
      <c r="C526" s="523"/>
      <c r="D526" s="523"/>
      <c r="E526" s="523"/>
      <c r="F526" s="523"/>
      <c r="G526" s="523"/>
      <c r="H526" s="524"/>
      <c r="I526" s="523"/>
      <c r="J526" s="523"/>
      <c r="K526" s="523"/>
      <c r="L526" s="523"/>
      <c r="M526" s="523"/>
      <c r="N526" s="523"/>
      <c r="O526" s="523"/>
      <c r="P526" s="523"/>
      <c r="Q526" s="523"/>
      <c r="R526" s="523"/>
      <c r="S526" s="523"/>
      <c r="T526" s="523"/>
      <c r="U526" s="523"/>
      <c r="V526" s="523"/>
      <c r="W526" s="523"/>
      <c r="X526" s="523"/>
      <c r="Y526" s="523"/>
      <c r="Z526" s="523"/>
    </row>
    <row r="527" spans="1:26" ht="15.75" customHeight="1">
      <c r="A527" s="523"/>
      <c r="B527" s="523"/>
      <c r="C527" s="523"/>
      <c r="D527" s="523"/>
      <c r="E527" s="523"/>
      <c r="F527" s="523"/>
      <c r="G527" s="523"/>
      <c r="H527" s="524"/>
      <c r="I527" s="523"/>
      <c r="J527" s="523"/>
      <c r="K527" s="523"/>
      <c r="L527" s="523"/>
      <c r="M527" s="523"/>
      <c r="N527" s="523"/>
      <c r="O527" s="523"/>
      <c r="P527" s="523"/>
      <c r="Q527" s="523"/>
      <c r="R527" s="523"/>
      <c r="S527" s="523"/>
      <c r="T527" s="523"/>
      <c r="U527" s="523"/>
      <c r="V527" s="523"/>
      <c r="W527" s="523"/>
      <c r="X527" s="523"/>
      <c r="Y527" s="523"/>
      <c r="Z527" s="523"/>
    </row>
    <row r="528" spans="1:26" ht="15.75" customHeight="1">
      <c r="A528" s="523"/>
      <c r="B528" s="523"/>
      <c r="C528" s="523"/>
      <c r="D528" s="523"/>
      <c r="E528" s="523"/>
      <c r="F528" s="523"/>
      <c r="G528" s="523"/>
      <c r="H528" s="524"/>
      <c r="I528" s="523"/>
      <c r="J528" s="523"/>
      <c r="K528" s="523"/>
      <c r="L528" s="523"/>
      <c r="M528" s="523"/>
      <c r="N528" s="523"/>
      <c r="O528" s="523"/>
      <c r="P528" s="523"/>
      <c r="Q528" s="523"/>
      <c r="R528" s="523"/>
      <c r="S528" s="523"/>
      <c r="T528" s="523"/>
      <c r="U528" s="523"/>
      <c r="V528" s="523"/>
      <c r="W528" s="523"/>
      <c r="X528" s="523"/>
      <c r="Y528" s="523"/>
      <c r="Z528" s="523"/>
    </row>
    <row r="529" spans="1:26" ht="15.75" customHeight="1">
      <c r="A529" s="523"/>
      <c r="B529" s="523"/>
      <c r="C529" s="523"/>
      <c r="D529" s="523"/>
      <c r="E529" s="523"/>
      <c r="F529" s="523"/>
      <c r="G529" s="523"/>
      <c r="H529" s="524"/>
      <c r="I529" s="523"/>
      <c r="J529" s="523"/>
      <c r="K529" s="523"/>
      <c r="L529" s="523"/>
      <c r="M529" s="523"/>
      <c r="N529" s="523"/>
      <c r="O529" s="523"/>
      <c r="P529" s="523"/>
      <c r="Q529" s="523"/>
      <c r="R529" s="523"/>
      <c r="S529" s="523"/>
      <c r="T529" s="523"/>
      <c r="U529" s="523"/>
      <c r="V529" s="523"/>
      <c r="W529" s="523"/>
      <c r="X529" s="523"/>
      <c r="Y529" s="523"/>
      <c r="Z529" s="523"/>
    </row>
    <row r="530" spans="1:26" ht="15.75" customHeight="1">
      <c r="A530" s="523"/>
      <c r="B530" s="523"/>
      <c r="C530" s="523"/>
      <c r="D530" s="523"/>
      <c r="E530" s="523"/>
      <c r="F530" s="523"/>
      <c r="G530" s="523"/>
      <c r="H530" s="524"/>
      <c r="I530" s="523"/>
      <c r="J530" s="523"/>
      <c r="K530" s="523"/>
      <c r="L530" s="523"/>
      <c r="M530" s="523"/>
      <c r="N530" s="523"/>
      <c r="O530" s="523"/>
      <c r="P530" s="523"/>
      <c r="Q530" s="523"/>
      <c r="R530" s="523"/>
      <c r="S530" s="523"/>
      <c r="T530" s="523"/>
      <c r="U530" s="523"/>
      <c r="V530" s="523"/>
      <c r="W530" s="523"/>
      <c r="X530" s="523"/>
      <c r="Y530" s="523"/>
      <c r="Z530" s="523"/>
    </row>
    <row r="531" spans="1:26" ht="15.75" customHeight="1">
      <c r="A531" s="523"/>
      <c r="B531" s="523"/>
      <c r="C531" s="523"/>
      <c r="D531" s="523"/>
      <c r="E531" s="523"/>
      <c r="F531" s="523"/>
      <c r="G531" s="523"/>
      <c r="H531" s="524"/>
      <c r="I531" s="523"/>
      <c r="J531" s="523"/>
      <c r="K531" s="523"/>
      <c r="L531" s="523"/>
      <c r="M531" s="523"/>
      <c r="N531" s="523"/>
      <c r="O531" s="523"/>
      <c r="P531" s="523"/>
      <c r="Q531" s="523"/>
      <c r="R531" s="523"/>
      <c r="S531" s="523"/>
      <c r="T531" s="523"/>
      <c r="U531" s="523"/>
      <c r="V531" s="523"/>
      <c r="W531" s="523"/>
      <c r="X531" s="523"/>
      <c r="Y531" s="523"/>
      <c r="Z531" s="523"/>
    </row>
    <row r="532" spans="1:26" ht="15.75" customHeight="1">
      <c r="A532" s="523"/>
      <c r="B532" s="523"/>
      <c r="C532" s="523"/>
      <c r="D532" s="523"/>
      <c r="E532" s="523"/>
      <c r="F532" s="523"/>
      <c r="G532" s="523"/>
      <c r="H532" s="524"/>
      <c r="I532" s="523"/>
      <c r="J532" s="523"/>
      <c r="K532" s="523"/>
      <c r="L532" s="523"/>
      <c r="M532" s="523"/>
      <c r="N532" s="523"/>
      <c r="O532" s="523"/>
      <c r="P532" s="523"/>
      <c r="Q532" s="523"/>
      <c r="R532" s="523"/>
      <c r="S532" s="523"/>
      <c r="T532" s="523"/>
      <c r="U532" s="523"/>
      <c r="V532" s="523"/>
      <c r="W532" s="523"/>
      <c r="X532" s="523"/>
      <c r="Y532" s="523"/>
      <c r="Z532" s="523"/>
    </row>
    <row r="533" spans="1:26" ht="15.75" customHeight="1">
      <c r="A533" s="523"/>
      <c r="B533" s="523"/>
      <c r="C533" s="523"/>
      <c r="D533" s="523"/>
      <c r="E533" s="523"/>
      <c r="F533" s="523"/>
      <c r="G533" s="523"/>
      <c r="H533" s="524"/>
      <c r="I533" s="523"/>
      <c r="J533" s="523"/>
      <c r="K533" s="523"/>
      <c r="L533" s="523"/>
      <c r="M533" s="523"/>
      <c r="N533" s="523"/>
      <c r="O533" s="523"/>
      <c r="P533" s="523"/>
      <c r="Q533" s="523"/>
      <c r="R533" s="523"/>
      <c r="S533" s="523"/>
      <c r="T533" s="523"/>
      <c r="U533" s="523"/>
      <c r="V533" s="523"/>
      <c r="W533" s="523"/>
      <c r="X533" s="523"/>
      <c r="Y533" s="523"/>
      <c r="Z533" s="523"/>
    </row>
    <row r="534" spans="1:26" ht="15.75" customHeight="1">
      <c r="A534" s="523"/>
      <c r="B534" s="523"/>
      <c r="C534" s="523"/>
      <c r="D534" s="523"/>
      <c r="E534" s="523"/>
      <c r="F534" s="523"/>
      <c r="G534" s="523"/>
      <c r="H534" s="524"/>
      <c r="I534" s="523"/>
      <c r="J534" s="523"/>
      <c r="K534" s="523"/>
      <c r="L534" s="523"/>
      <c r="M534" s="523"/>
      <c r="N534" s="523"/>
      <c r="O534" s="523"/>
      <c r="P534" s="523"/>
      <c r="Q534" s="523"/>
      <c r="R534" s="523"/>
      <c r="S534" s="523"/>
      <c r="T534" s="523"/>
      <c r="U534" s="523"/>
      <c r="V534" s="523"/>
      <c r="W534" s="523"/>
      <c r="X534" s="523"/>
      <c r="Y534" s="523"/>
      <c r="Z534" s="523"/>
    </row>
    <row r="535" spans="1:26" ht="15.75" customHeight="1">
      <c r="A535" s="523"/>
      <c r="B535" s="523"/>
      <c r="C535" s="523"/>
      <c r="D535" s="523"/>
      <c r="E535" s="523"/>
      <c r="F535" s="523"/>
      <c r="G535" s="523"/>
      <c r="H535" s="524"/>
      <c r="I535" s="523"/>
      <c r="J535" s="523"/>
      <c r="K535" s="523"/>
      <c r="L535" s="523"/>
      <c r="M535" s="523"/>
      <c r="N535" s="523"/>
      <c r="O535" s="523"/>
      <c r="P535" s="523"/>
      <c r="Q535" s="523"/>
      <c r="R535" s="523"/>
      <c r="S535" s="523"/>
      <c r="T535" s="523"/>
      <c r="U535" s="523"/>
      <c r="V535" s="523"/>
      <c r="W535" s="523"/>
      <c r="X535" s="523"/>
      <c r="Y535" s="523"/>
      <c r="Z535" s="523"/>
    </row>
    <row r="536" spans="1:26" ht="15.75" customHeight="1">
      <c r="A536" s="523"/>
      <c r="B536" s="523"/>
      <c r="C536" s="523"/>
      <c r="D536" s="523"/>
      <c r="E536" s="523"/>
      <c r="F536" s="523"/>
      <c r="G536" s="523"/>
      <c r="H536" s="524"/>
      <c r="I536" s="523"/>
      <c r="J536" s="523"/>
      <c r="K536" s="523"/>
      <c r="L536" s="523"/>
      <c r="M536" s="523"/>
      <c r="N536" s="523"/>
      <c r="O536" s="523"/>
      <c r="P536" s="523"/>
      <c r="Q536" s="523"/>
      <c r="R536" s="523"/>
      <c r="S536" s="523"/>
      <c r="T536" s="523"/>
      <c r="U536" s="523"/>
      <c r="V536" s="523"/>
      <c r="W536" s="523"/>
      <c r="X536" s="523"/>
      <c r="Y536" s="523"/>
      <c r="Z536" s="523"/>
    </row>
    <row r="537" spans="1:26" ht="15.75" customHeight="1">
      <c r="A537" s="523"/>
      <c r="B537" s="523"/>
      <c r="C537" s="523"/>
      <c r="D537" s="523"/>
      <c r="E537" s="523"/>
      <c r="F537" s="523"/>
      <c r="G537" s="523"/>
      <c r="H537" s="524"/>
      <c r="I537" s="523"/>
      <c r="J537" s="523"/>
      <c r="K537" s="523"/>
      <c r="L537" s="523"/>
      <c r="M537" s="523"/>
      <c r="N537" s="523"/>
      <c r="O537" s="523"/>
      <c r="P537" s="523"/>
      <c r="Q537" s="523"/>
      <c r="R537" s="523"/>
      <c r="S537" s="523"/>
      <c r="T537" s="523"/>
      <c r="U537" s="523"/>
      <c r="V537" s="523"/>
      <c r="W537" s="523"/>
      <c r="X537" s="523"/>
      <c r="Y537" s="523"/>
      <c r="Z537" s="523"/>
    </row>
    <row r="538" spans="1:26" ht="15.75" customHeight="1">
      <c r="A538" s="523"/>
      <c r="B538" s="523"/>
      <c r="C538" s="523"/>
      <c r="D538" s="523"/>
      <c r="E538" s="523"/>
      <c r="F538" s="523"/>
      <c r="G538" s="523"/>
      <c r="H538" s="524"/>
      <c r="I538" s="523"/>
      <c r="J538" s="523"/>
      <c r="K538" s="523"/>
      <c r="L538" s="523"/>
      <c r="M538" s="523"/>
      <c r="N538" s="523"/>
      <c r="O538" s="523"/>
      <c r="P538" s="523"/>
      <c r="Q538" s="523"/>
      <c r="R538" s="523"/>
      <c r="S538" s="523"/>
      <c r="T538" s="523"/>
      <c r="U538" s="523"/>
      <c r="V538" s="523"/>
      <c r="W538" s="523"/>
      <c r="X538" s="523"/>
      <c r="Y538" s="523"/>
      <c r="Z538" s="523"/>
    </row>
    <row r="539" spans="1:26" ht="15.75" customHeight="1">
      <c r="A539" s="523"/>
      <c r="B539" s="523"/>
      <c r="C539" s="523"/>
      <c r="D539" s="523"/>
      <c r="E539" s="523"/>
      <c r="F539" s="523"/>
      <c r="G539" s="523"/>
      <c r="H539" s="524"/>
      <c r="I539" s="523"/>
      <c r="J539" s="523"/>
      <c r="K539" s="523"/>
      <c r="L539" s="523"/>
      <c r="M539" s="523"/>
      <c r="N539" s="523"/>
      <c r="O539" s="523"/>
      <c r="P539" s="523"/>
      <c r="Q539" s="523"/>
      <c r="R539" s="523"/>
      <c r="S539" s="523"/>
      <c r="T539" s="523"/>
      <c r="U539" s="523"/>
      <c r="V539" s="523"/>
      <c r="W539" s="523"/>
      <c r="X539" s="523"/>
      <c r="Y539" s="523"/>
      <c r="Z539" s="523"/>
    </row>
    <row r="540" spans="1:26" ht="15.75" customHeight="1">
      <c r="A540" s="523"/>
      <c r="B540" s="523"/>
      <c r="C540" s="523"/>
      <c r="D540" s="523"/>
      <c r="E540" s="523"/>
      <c r="F540" s="523"/>
      <c r="G540" s="523"/>
      <c r="H540" s="524"/>
      <c r="I540" s="523"/>
      <c r="J540" s="523"/>
      <c r="K540" s="523"/>
      <c r="L540" s="523"/>
      <c r="M540" s="523"/>
      <c r="N540" s="523"/>
      <c r="O540" s="523"/>
      <c r="P540" s="523"/>
      <c r="Q540" s="523"/>
      <c r="R540" s="523"/>
      <c r="S540" s="523"/>
      <c r="T540" s="523"/>
      <c r="U540" s="523"/>
      <c r="V540" s="523"/>
      <c r="W540" s="523"/>
      <c r="X540" s="523"/>
      <c r="Y540" s="523"/>
      <c r="Z540" s="523"/>
    </row>
    <row r="541" spans="1:26" ht="15.75" customHeight="1">
      <c r="A541" s="523"/>
      <c r="B541" s="523"/>
      <c r="C541" s="523"/>
      <c r="D541" s="523"/>
      <c r="E541" s="523"/>
      <c r="F541" s="523"/>
      <c r="G541" s="523"/>
      <c r="H541" s="524"/>
      <c r="I541" s="523"/>
      <c r="J541" s="523"/>
      <c r="K541" s="523"/>
      <c r="L541" s="523"/>
      <c r="M541" s="523"/>
      <c r="N541" s="523"/>
      <c r="O541" s="523"/>
      <c r="P541" s="523"/>
      <c r="Q541" s="523"/>
      <c r="R541" s="523"/>
      <c r="S541" s="523"/>
      <c r="T541" s="523"/>
      <c r="U541" s="523"/>
      <c r="V541" s="523"/>
      <c r="W541" s="523"/>
      <c r="X541" s="523"/>
      <c r="Y541" s="523"/>
      <c r="Z541" s="523"/>
    </row>
    <row r="542" spans="1:26" ht="15.75" customHeight="1">
      <c r="A542" s="523"/>
      <c r="B542" s="523"/>
      <c r="C542" s="523"/>
      <c r="D542" s="523"/>
      <c r="E542" s="523"/>
      <c r="F542" s="523"/>
      <c r="G542" s="523"/>
      <c r="H542" s="524"/>
      <c r="I542" s="523"/>
      <c r="J542" s="523"/>
      <c r="K542" s="523"/>
      <c r="L542" s="523"/>
      <c r="M542" s="523"/>
      <c r="N542" s="523"/>
      <c r="O542" s="523"/>
      <c r="P542" s="523"/>
      <c r="Q542" s="523"/>
      <c r="R542" s="523"/>
      <c r="S542" s="523"/>
      <c r="T542" s="523"/>
      <c r="U542" s="523"/>
      <c r="V542" s="523"/>
      <c r="W542" s="523"/>
      <c r="X542" s="523"/>
      <c r="Y542" s="523"/>
      <c r="Z542" s="523"/>
    </row>
    <row r="543" spans="1:26" ht="15.75" customHeight="1">
      <c r="A543" s="523"/>
      <c r="B543" s="523"/>
      <c r="C543" s="523"/>
      <c r="D543" s="523"/>
      <c r="E543" s="523"/>
      <c r="F543" s="523"/>
      <c r="G543" s="523"/>
      <c r="H543" s="524"/>
      <c r="I543" s="523"/>
      <c r="J543" s="523"/>
      <c r="K543" s="523"/>
      <c r="L543" s="523"/>
      <c r="M543" s="523"/>
      <c r="N543" s="523"/>
      <c r="O543" s="523"/>
      <c r="P543" s="523"/>
      <c r="Q543" s="523"/>
      <c r="R543" s="523"/>
      <c r="S543" s="523"/>
      <c r="T543" s="523"/>
      <c r="U543" s="523"/>
      <c r="V543" s="523"/>
      <c r="W543" s="523"/>
      <c r="X543" s="523"/>
      <c r="Y543" s="523"/>
      <c r="Z543" s="523"/>
    </row>
    <row r="544" spans="1:26" ht="15.75" customHeight="1">
      <c r="A544" s="523"/>
      <c r="B544" s="523"/>
      <c r="C544" s="523"/>
      <c r="D544" s="523"/>
      <c r="E544" s="523"/>
      <c r="F544" s="523"/>
      <c r="G544" s="523"/>
      <c r="H544" s="524"/>
      <c r="I544" s="523"/>
      <c r="J544" s="523"/>
      <c r="K544" s="523"/>
      <c r="L544" s="523"/>
      <c r="M544" s="523"/>
      <c r="N544" s="523"/>
      <c r="O544" s="523"/>
      <c r="P544" s="523"/>
      <c r="Q544" s="523"/>
      <c r="R544" s="523"/>
      <c r="S544" s="523"/>
      <c r="T544" s="523"/>
      <c r="U544" s="523"/>
      <c r="V544" s="523"/>
      <c r="W544" s="523"/>
      <c r="X544" s="523"/>
      <c r="Y544" s="523"/>
      <c r="Z544" s="523"/>
    </row>
    <row r="545" spans="1:26" ht="15.75" customHeight="1">
      <c r="A545" s="523"/>
      <c r="B545" s="523"/>
      <c r="C545" s="523"/>
      <c r="D545" s="523"/>
      <c r="E545" s="523"/>
      <c r="F545" s="523"/>
      <c r="G545" s="523"/>
      <c r="H545" s="524"/>
      <c r="I545" s="523"/>
      <c r="J545" s="523"/>
      <c r="K545" s="523"/>
      <c r="L545" s="523"/>
      <c r="M545" s="523"/>
      <c r="N545" s="523"/>
      <c r="O545" s="523"/>
      <c r="P545" s="523"/>
      <c r="Q545" s="523"/>
      <c r="R545" s="523"/>
      <c r="S545" s="523"/>
      <c r="T545" s="523"/>
      <c r="U545" s="523"/>
      <c r="V545" s="523"/>
      <c r="W545" s="523"/>
      <c r="X545" s="523"/>
      <c r="Y545" s="523"/>
      <c r="Z545" s="523"/>
    </row>
    <row r="546" spans="1:26" ht="15.75" customHeight="1">
      <c r="A546" s="523"/>
      <c r="B546" s="523"/>
      <c r="C546" s="523"/>
      <c r="D546" s="523"/>
      <c r="E546" s="523"/>
      <c r="F546" s="523"/>
      <c r="G546" s="523"/>
      <c r="H546" s="524"/>
      <c r="I546" s="523"/>
      <c r="J546" s="523"/>
      <c r="K546" s="523"/>
      <c r="L546" s="523"/>
      <c r="M546" s="523"/>
      <c r="N546" s="523"/>
      <c r="O546" s="523"/>
      <c r="P546" s="523"/>
      <c r="Q546" s="523"/>
      <c r="R546" s="523"/>
      <c r="S546" s="523"/>
      <c r="T546" s="523"/>
      <c r="U546" s="523"/>
      <c r="V546" s="523"/>
      <c r="W546" s="523"/>
      <c r="X546" s="523"/>
      <c r="Y546" s="523"/>
      <c r="Z546" s="523"/>
    </row>
    <row r="547" spans="1:26" ht="15.75" customHeight="1">
      <c r="A547" s="523"/>
      <c r="B547" s="523"/>
      <c r="C547" s="523"/>
      <c r="D547" s="523"/>
      <c r="E547" s="523"/>
      <c r="F547" s="523"/>
      <c r="G547" s="523"/>
      <c r="H547" s="524"/>
      <c r="I547" s="523"/>
      <c r="J547" s="523"/>
      <c r="K547" s="523"/>
      <c r="L547" s="523"/>
      <c r="M547" s="523"/>
      <c r="N547" s="523"/>
      <c r="O547" s="523"/>
      <c r="P547" s="523"/>
      <c r="Q547" s="523"/>
      <c r="R547" s="523"/>
      <c r="S547" s="523"/>
      <c r="T547" s="523"/>
      <c r="U547" s="523"/>
      <c r="V547" s="523"/>
      <c r="W547" s="523"/>
      <c r="X547" s="523"/>
      <c r="Y547" s="523"/>
      <c r="Z547" s="523"/>
    </row>
    <row r="548" spans="1:26" ht="15.75" customHeight="1">
      <c r="A548" s="523"/>
      <c r="B548" s="523"/>
      <c r="C548" s="523"/>
      <c r="D548" s="523"/>
      <c r="E548" s="523"/>
      <c r="F548" s="523"/>
      <c r="G548" s="523"/>
      <c r="H548" s="524"/>
      <c r="I548" s="523"/>
      <c r="J548" s="523"/>
      <c r="K548" s="523"/>
      <c r="L548" s="523"/>
      <c r="M548" s="523"/>
      <c r="N548" s="523"/>
      <c r="O548" s="523"/>
      <c r="P548" s="523"/>
      <c r="Q548" s="523"/>
      <c r="R548" s="523"/>
      <c r="S548" s="523"/>
      <c r="T548" s="523"/>
      <c r="U548" s="523"/>
      <c r="V548" s="523"/>
      <c r="W548" s="523"/>
      <c r="X548" s="523"/>
      <c r="Y548" s="523"/>
      <c r="Z548" s="523"/>
    </row>
    <row r="549" spans="1:26" ht="15.75" customHeight="1">
      <c r="A549" s="523"/>
      <c r="B549" s="523"/>
      <c r="C549" s="523"/>
      <c r="D549" s="523"/>
      <c r="E549" s="523"/>
      <c r="F549" s="523"/>
      <c r="G549" s="523"/>
      <c r="H549" s="524"/>
      <c r="I549" s="523"/>
      <c r="J549" s="523"/>
      <c r="K549" s="523"/>
      <c r="L549" s="523"/>
      <c r="M549" s="523"/>
      <c r="N549" s="523"/>
      <c r="O549" s="523"/>
      <c r="P549" s="523"/>
      <c r="Q549" s="523"/>
      <c r="R549" s="523"/>
      <c r="S549" s="523"/>
      <c r="T549" s="523"/>
      <c r="U549" s="523"/>
      <c r="V549" s="523"/>
      <c r="W549" s="523"/>
      <c r="X549" s="523"/>
      <c r="Y549" s="523"/>
      <c r="Z549" s="523"/>
    </row>
    <row r="550" spans="1:26" ht="15.75" customHeight="1">
      <c r="A550" s="523"/>
      <c r="B550" s="523"/>
      <c r="C550" s="523"/>
      <c r="D550" s="523"/>
      <c r="E550" s="523"/>
      <c r="F550" s="523"/>
      <c r="G550" s="523"/>
      <c r="H550" s="524"/>
      <c r="I550" s="523"/>
      <c r="J550" s="523"/>
      <c r="K550" s="523"/>
      <c r="L550" s="523"/>
      <c r="M550" s="523"/>
      <c r="N550" s="523"/>
      <c r="O550" s="523"/>
      <c r="P550" s="523"/>
      <c r="Q550" s="523"/>
      <c r="R550" s="523"/>
      <c r="S550" s="523"/>
      <c r="T550" s="523"/>
      <c r="U550" s="523"/>
      <c r="V550" s="523"/>
      <c r="W550" s="523"/>
      <c r="X550" s="523"/>
      <c r="Y550" s="523"/>
      <c r="Z550" s="523"/>
    </row>
    <row r="551" spans="1:26" ht="15.75" customHeight="1">
      <c r="A551" s="523"/>
      <c r="B551" s="523"/>
      <c r="C551" s="523"/>
      <c r="D551" s="523"/>
      <c r="E551" s="523"/>
      <c r="F551" s="523"/>
      <c r="G551" s="523"/>
      <c r="H551" s="524"/>
      <c r="I551" s="523"/>
      <c r="J551" s="523"/>
      <c r="K551" s="523"/>
      <c r="L551" s="523"/>
      <c r="M551" s="523"/>
      <c r="N551" s="523"/>
      <c r="O551" s="523"/>
      <c r="P551" s="523"/>
      <c r="Q551" s="523"/>
      <c r="R551" s="523"/>
      <c r="S551" s="523"/>
      <c r="T551" s="523"/>
      <c r="U551" s="523"/>
      <c r="V551" s="523"/>
      <c r="W551" s="523"/>
      <c r="X551" s="523"/>
      <c r="Y551" s="523"/>
      <c r="Z551" s="523"/>
    </row>
    <row r="552" spans="1:26" ht="15.75" customHeight="1">
      <c r="A552" s="523"/>
      <c r="B552" s="523"/>
      <c r="C552" s="523"/>
      <c r="D552" s="523"/>
      <c r="E552" s="523"/>
      <c r="F552" s="523"/>
      <c r="G552" s="523"/>
      <c r="H552" s="524"/>
      <c r="I552" s="523"/>
      <c r="J552" s="523"/>
      <c r="K552" s="523"/>
      <c r="L552" s="523"/>
      <c r="M552" s="523"/>
      <c r="N552" s="523"/>
      <c r="O552" s="523"/>
      <c r="P552" s="523"/>
      <c r="Q552" s="523"/>
      <c r="R552" s="523"/>
      <c r="S552" s="523"/>
      <c r="T552" s="523"/>
      <c r="U552" s="523"/>
      <c r="V552" s="523"/>
      <c r="W552" s="523"/>
      <c r="X552" s="523"/>
      <c r="Y552" s="523"/>
      <c r="Z552" s="523"/>
    </row>
    <row r="553" spans="1:26" ht="15.75" customHeight="1">
      <c r="A553" s="523"/>
      <c r="B553" s="523"/>
      <c r="C553" s="523"/>
      <c r="D553" s="523"/>
      <c r="E553" s="523"/>
      <c r="F553" s="523"/>
      <c r="G553" s="523"/>
      <c r="H553" s="524"/>
      <c r="I553" s="523"/>
      <c r="J553" s="523"/>
      <c r="K553" s="523"/>
      <c r="L553" s="523"/>
      <c r="M553" s="523"/>
      <c r="N553" s="523"/>
      <c r="O553" s="523"/>
      <c r="P553" s="523"/>
      <c r="Q553" s="523"/>
      <c r="R553" s="523"/>
      <c r="S553" s="523"/>
      <c r="T553" s="523"/>
      <c r="U553" s="523"/>
      <c r="V553" s="523"/>
      <c r="W553" s="523"/>
      <c r="X553" s="523"/>
      <c r="Y553" s="523"/>
      <c r="Z553" s="523"/>
    </row>
    <row r="554" spans="1:26" ht="15.75" customHeight="1">
      <c r="A554" s="523"/>
      <c r="B554" s="523"/>
      <c r="C554" s="523"/>
      <c r="D554" s="523"/>
      <c r="E554" s="523"/>
      <c r="F554" s="523"/>
      <c r="G554" s="523"/>
      <c r="H554" s="524"/>
      <c r="I554" s="523"/>
      <c r="J554" s="523"/>
      <c r="K554" s="523"/>
      <c r="L554" s="523"/>
      <c r="M554" s="523"/>
      <c r="N554" s="523"/>
      <c r="O554" s="523"/>
      <c r="P554" s="523"/>
      <c r="Q554" s="523"/>
      <c r="R554" s="523"/>
      <c r="S554" s="523"/>
      <c r="T554" s="523"/>
      <c r="U554" s="523"/>
      <c r="V554" s="523"/>
      <c r="W554" s="523"/>
      <c r="X554" s="523"/>
      <c r="Y554" s="523"/>
      <c r="Z554" s="523"/>
    </row>
    <row r="555" spans="1:26" ht="15.75" customHeight="1">
      <c r="A555" s="523"/>
      <c r="B555" s="523"/>
      <c r="C555" s="523"/>
      <c r="D555" s="523"/>
      <c r="E555" s="523"/>
      <c r="F555" s="523"/>
      <c r="G555" s="523"/>
      <c r="H555" s="524"/>
      <c r="I555" s="523"/>
      <c r="J555" s="523"/>
      <c r="K555" s="523"/>
      <c r="L555" s="523"/>
      <c r="M555" s="523"/>
      <c r="N555" s="523"/>
      <c r="O555" s="523"/>
      <c r="P555" s="523"/>
      <c r="Q555" s="523"/>
      <c r="R555" s="523"/>
      <c r="S555" s="523"/>
      <c r="T555" s="523"/>
      <c r="U555" s="523"/>
      <c r="V555" s="523"/>
      <c r="W555" s="523"/>
      <c r="X555" s="523"/>
      <c r="Y555" s="523"/>
      <c r="Z555" s="523"/>
    </row>
    <row r="556" spans="1:26" ht="15.75" customHeight="1">
      <c r="A556" s="523"/>
      <c r="B556" s="523"/>
      <c r="C556" s="523"/>
      <c r="D556" s="523"/>
      <c r="E556" s="523"/>
      <c r="F556" s="523"/>
      <c r="G556" s="523"/>
      <c r="H556" s="524"/>
      <c r="I556" s="523"/>
      <c r="J556" s="523"/>
      <c r="K556" s="523"/>
      <c r="L556" s="523"/>
      <c r="M556" s="523"/>
      <c r="N556" s="523"/>
      <c r="O556" s="523"/>
      <c r="P556" s="523"/>
      <c r="Q556" s="523"/>
      <c r="R556" s="523"/>
      <c r="S556" s="523"/>
      <c r="T556" s="523"/>
      <c r="U556" s="523"/>
      <c r="V556" s="523"/>
      <c r="W556" s="523"/>
      <c r="X556" s="523"/>
      <c r="Y556" s="523"/>
      <c r="Z556" s="523"/>
    </row>
    <row r="557" spans="1:26" ht="15.75" customHeight="1">
      <c r="A557" s="523"/>
      <c r="B557" s="523"/>
      <c r="C557" s="523"/>
      <c r="D557" s="523"/>
      <c r="E557" s="523"/>
      <c r="F557" s="523"/>
      <c r="G557" s="523"/>
      <c r="H557" s="524"/>
      <c r="I557" s="523"/>
      <c r="J557" s="523"/>
      <c r="K557" s="523"/>
      <c r="L557" s="523"/>
      <c r="M557" s="523"/>
      <c r="N557" s="523"/>
      <c r="O557" s="523"/>
      <c r="P557" s="523"/>
      <c r="Q557" s="523"/>
      <c r="R557" s="523"/>
      <c r="S557" s="523"/>
      <c r="T557" s="523"/>
      <c r="U557" s="523"/>
      <c r="V557" s="523"/>
      <c r="W557" s="523"/>
      <c r="X557" s="523"/>
      <c r="Y557" s="523"/>
      <c r="Z557" s="523"/>
    </row>
    <row r="558" spans="1:26" ht="15.75" customHeight="1">
      <c r="A558" s="523"/>
      <c r="B558" s="523"/>
      <c r="C558" s="523"/>
      <c r="D558" s="523"/>
      <c r="E558" s="523"/>
      <c r="F558" s="523"/>
      <c r="G558" s="523"/>
      <c r="H558" s="524"/>
      <c r="I558" s="523"/>
      <c r="J558" s="523"/>
      <c r="K558" s="523"/>
      <c r="L558" s="523"/>
      <c r="M558" s="523"/>
      <c r="N558" s="523"/>
      <c r="O558" s="523"/>
      <c r="P558" s="523"/>
      <c r="Q558" s="523"/>
      <c r="R558" s="523"/>
      <c r="S558" s="523"/>
      <c r="T558" s="523"/>
      <c r="U558" s="523"/>
      <c r="V558" s="523"/>
      <c r="W558" s="523"/>
      <c r="X558" s="523"/>
      <c r="Y558" s="523"/>
      <c r="Z558" s="523"/>
    </row>
    <row r="559" spans="1:26" ht="15.75" customHeight="1">
      <c r="A559" s="523"/>
      <c r="B559" s="523"/>
      <c r="C559" s="523"/>
      <c r="D559" s="523"/>
      <c r="E559" s="523"/>
      <c r="F559" s="523"/>
      <c r="G559" s="523"/>
      <c r="H559" s="524"/>
      <c r="I559" s="523"/>
      <c r="J559" s="523"/>
      <c r="K559" s="523"/>
      <c r="L559" s="523"/>
      <c r="M559" s="523"/>
      <c r="N559" s="523"/>
      <c r="O559" s="523"/>
      <c r="P559" s="523"/>
      <c r="Q559" s="523"/>
      <c r="R559" s="523"/>
      <c r="S559" s="523"/>
      <c r="T559" s="523"/>
      <c r="U559" s="523"/>
      <c r="V559" s="523"/>
      <c r="W559" s="523"/>
      <c r="X559" s="523"/>
      <c r="Y559" s="523"/>
      <c r="Z559" s="523"/>
    </row>
    <row r="560" spans="1:26" ht="15.75" customHeight="1">
      <c r="A560" s="523"/>
      <c r="B560" s="523"/>
      <c r="C560" s="523"/>
      <c r="D560" s="523"/>
      <c r="E560" s="523"/>
      <c r="F560" s="523"/>
      <c r="G560" s="523"/>
      <c r="H560" s="524"/>
      <c r="I560" s="523"/>
      <c r="J560" s="523"/>
      <c r="K560" s="523"/>
      <c r="L560" s="523"/>
      <c r="M560" s="523"/>
      <c r="N560" s="523"/>
      <c r="O560" s="523"/>
      <c r="P560" s="523"/>
      <c r="Q560" s="523"/>
      <c r="R560" s="523"/>
      <c r="S560" s="523"/>
      <c r="T560" s="523"/>
      <c r="U560" s="523"/>
      <c r="V560" s="523"/>
      <c r="W560" s="523"/>
      <c r="X560" s="523"/>
      <c r="Y560" s="523"/>
      <c r="Z560" s="523"/>
    </row>
    <row r="561" spans="1:26" ht="15.75" customHeight="1">
      <c r="A561" s="523"/>
      <c r="B561" s="523"/>
      <c r="C561" s="523"/>
      <c r="D561" s="523"/>
      <c r="E561" s="523"/>
      <c r="F561" s="523"/>
      <c r="G561" s="523"/>
      <c r="H561" s="524"/>
      <c r="I561" s="523"/>
      <c r="J561" s="523"/>
      <c r="K561" s="523"/>
      <c r="L561" s="523"/>
      <c r="M561" s="523"/>
      <c r="N561" s="523"/>
      <c r="O561" s="523"/>
      <c r="P561" s="523"/>
      <c r="Q561" s="523"/>
      <c r="R561" s="523"/>
      <c r="S561" s="523"/>
      <c r="T561" s="523"/>
      <c r="U561" s="523"/>
      <c r="V561" s="523"/>
      <c r="W561" s="523"/>
      <c r="X561" s="523"/>
      <c r="Y561" s="523"/>
      <c r="Z561" s="523"/>
    </row>
    <row r="562" spans="1:26" ht="15.75" customHeight="1">
      <c r="A562" s="523"/>
      <c r="B562" s="523"/>
      <c r="C562" s="523"/>
      <c r="D562" s="523"/>
      <c r="E562" s="523"/>
      <c r="F562" s="523"/>
      <c r="G562" s="523"/>
      <c r="H562" s="524"/>
      <c r="I562" s="523"/>
      <c r="J562" s="523"/>
      <c r="K562" s="523"/>
      <c r="L562" s="523"/>
      <c r="M562" s="523"/>
      <c r="N562" s="523"/>
      <c r="O562" s="523"/>
      <c r="P562" s="523"/>
      <c r="Q562" s="523"/>
      <c r="R562" s="523"/>
      <c r="S562" s="523"/>
      <c r="T562" s="523"/>
      <c r="U562" s="523"/>
      <c r="V562" s="523"/>
      <c r="W562" s="523"/>
      <c r="X562" s="523"/>
      <c r="Y562" s="523"/>
      <c r="Z562" s="523"/>
    </row>
    <row r="563" spans="1:26" ht="15.75" customHeight="1">
      <c r="A563" s="523"/>
      <c r="B563" s="523"/>
      <c r="C563" s="523"/>
      <c r="D563" s="523"/>
      <c r="E563" s="523"/>
      <c r="F563" s="523"/>
      <c r="G563" s="523"/>
      <c r="H563" s="524"/>
      <c r="I563" s="523"/>
      <c r="J563" s="523"/>
      <c r="K563" s="523"/>
      <c r="L563" s="523"/>
      <c r="M563" s="523"/>
      <c r="N563" s="523"/>
      <c r="O563" s="523"/>
      <c r="P563" s="523"/>
      <c r="Q563" s="523"/>
      <c r="R563" s="523"/>
      <c r="S563" s="523"/>
      <c r="T563" s="523"/>
      <c r="U563" s="523"/>
      <c r="V563" s="523"/>
      <c r="W563" s="523"/>
      <c r="X563" s="523"/>
      <c r="Y563" s="523"/>
      <c r="Z563" s="523"/>
    </row>
    <row r="564" spans="1:26" ht="15.75" customHeight="1">
      <c r="A564" s="523"/>
      <c r="B564" s="523"/>
      <c r="C564" s="523"/>
      <c r="D564" s="523"/>
      <c r="E564" s="523"/>
      <c r="F564" s="523"/>
      <c r="G564" s="523"/>
      <c r="H564" s="524"/>
      <c r="I564" s="523"/>
      <c r="J564" s="523"/>
      <c r="K564" s="523"/>
      <c r="L564" s="523"/>
      <c r="M564" s="523"/>
      <c r="N564" s="523"/>
      <c r="O564" s="523"/>
      <c r="P564" s="523"/>
      <c r="Q564" s="523"/>
      <c r="R564" s="523"/>
      <c r="S564" s="523"/>
      <c r="T564" s="523"/>
      <c r="U564" s="523"/>
      <c r="V564" s="523"/>
      <c r="W564" s="523"/>
      <c r="X564" s="523"/>
      <c r="Y564" s="523"/>
      <c r="Z564" s="523"/>
    </row>
    <row r="565" spans="1:26" ht="15.75" customHeight="1">
      <c r="A565" s="523"/>
      <c r="B565" s="523"/>
      <c r="C565" s="523"/>
      <c r="D565" s="523"/>
      <c r="E565" s="523"/>
      <c r="F565" s="523"/>
      <c r="G565" s="523"/>
      <c r="H565" s="524"/>
      <c r="I565" s="523"/>
      <c r="J565" s="523"/>
      <c r="K565" s="523"/>
      <c r="L565" s="523"/>
      <c r="M565" s="523"/>
      <c r="N565" s="523"/>
      <c r="O565" s="523"/>
      <c r="P565" s="523"/>
      <c r="Q565" s="523"/>
      <c r="R565" s="523"/>
      <c r="S565" s="523"/>
      <c r="T565" s="523"/>
      <c r="U565" s="523"/>
      <c r="V565" s="523"/>
      <c r="W565" s="523"/>
      <c r="X565" s="523"/>
      <c r="Y565" s="523"/>
      <c r="Z565" s="523"/>
    </row>
    <row r="566" spans="1:26" ht="15.75" customHeight="1">
      <c r="A566" s="523"/>
      <c r="B566" s="523"/>
      <c r="C566" s="523"/>
      <c r="D566" s="523"/>
      <c r="E566" s="523"/>
      <c r="F566" s="523"/>
      <c r="G566" s="523"/>
      <c r="H566" s="524"/>
      <c r="I566" s="523"/>
      <c r="J566" s="523"/>
      <c r="K566" s="523"/>
      <c r="L566" s="523"/>
      <c r="M566" s="523"/>
      <c r="N566" s="523"/>
      <c r="O566" s="523"/>
      <c r="P566" s="523"/>
      <c r="Q566" s="523"/>
      <c r="R566" s="523"/>
      <c r="S566" s="523"/>
      <c r="T566" s="523"/>
      <c r="U566" s="523"/>
      <c r="V566" s="523"/>
      <c r="W566" s="523"/>
      <c r="X566" s="523"/>
      <c r="Y566" s="523"/>
      <c r="Z566" s="523"/>
    </row>
    <row r="567" spans="1:26" ht="15.75" customHeight="1">
      <c r="A567" s="523"/>
      <c r="B567" s="523"/>
      <c r="C567" s="523"/>
      <c r="D567" s="523"/>
      <c r="E567" s="523"/>
      <c r="F567" s="523"/>
      <c r="G567" s="523"/>
      <c r="H567" s="524"/>
      <c r="I567" s="523"/>
      <c r="J567" s="523"/>
      <c r="K567" s="523"/>
      <c r="L567" s="523"/>
      <c r="M567" s="523"/>
      <c r="N567" s="523"/>
      <c r="O567" s="523"/>
      <c r="P567" s="523"/>
      <c r="Q567" s="523"/>
      <c r="R567" s="523"/>
      <c r="S567" s="523"/>
      <c r="T567" s="523"/>
      <c r="U567" s="523"/>
      <c r="V567" s="523"/>
      <c r="W567" s="523"/>
      <c r="X567" s="523"/>
      <c r="Y567" s="523"/>
      <c r="Z567" s="523"/>
    </row>
    <row r="568" spans="1:26" ht="15.75" customHeight="1">
      <c r="A568" s="523"/>
      <c r="B568" s="523"/>
      <c r="C568" s="523"/>
      <c r="D568" s="523"/>
      <c r="E568" s="523"/>
      <c r="F568" s="523"/>
      <c r="G568" s="523"/>
      <c r="H568" s="524"/>
      <c r="I568" s="523"/>
      <c r="J568" s="523"/>
      <c r="K568" s="523"/>
      <c r="L568" s="523"/>
      <c r="M568" s="523"/>
      <c r="N568" s="523"/>
      <c r="O568" s="523"/>
      <c r="P568" s="523"/>
      <c r="Q568" s="523"/>
      <c r="R568" s="523"/>
      <c r="S568" s="523"/>
      <c r="T568" s="523"/>
      <c r="U568" s="523"/>
      <c r="V568" s="523"/>
      <c r="W568" s="523"/>
      <c r="X568" s="523"/>
      <c r="Y568" s="523"/>
      <c r="Z568" s="523"/>
    </row>
    <row r="569" spans="1:26" ht="15.75" customHeight="1">
      <c r="A569" s="523"/>
      <c r="B569" s="523"/>
      <c r="C569" s="523"/>
      <c r="D569" s="523"/>
      <c r="E569" s="523"/>
      <c r="F569" s="523"/>
      <c r="G569" s="523"/>
      <c r="H569" s="524"/>
      <c r="I569" s="523"/>
      <c r="J569" s="523"/>
      <c r="K569" s="523"/>
      <c r="L569" s="523"/>
      <c r="M569" s="523"/>
      <c r="N569" s="523"/>
      <c r="O569" s="523"/>
      <c r="P569" s="523"/>
      <c r="Q569" s="523"/>
      <c r="R569" s="523"/>
      <c r="S569" s="523"/>
      <c r="T569" s="523"/>
      <c r="U569" s="523"/>
      <c r="V569" s="523"/>
      <c r="W569" s="523"/>
      <c r="X569" s="523"/>
      <c r="Y569" s="523"/>
      <c r="Z569" s="523"/>
    </row>
    <row r="570" spans="1:26" ht="15.75" customHeight="1">
      <c r="A570" s="523"/>
      <c r="B570" s="523"/>
      <c r="C570" s="523"/>
      <c r="D570" s="523"/>
      <c r="E570" s="523"/>
      <c r="F570" s="523"/>
      <c r="G570" s="523"/>
      <c r="H570" s="524"/>
      <c r="I570" s="523"/>
      <c r="J570" s="523"/>
      <c r="K570" s="523"/>
      <c r="L570" s="523"/>
      <c r="M570" s="523"/>
      <c r="N570" s="523"/>
      <c r="O570" s="523"/>
      <c r="P570" s="523"/>
      <c r="Q570" s="523"/>
      <c r="R570" s="523"/>
      <c r="S570" s="523"/>
      <c r="T570" s="523"/>
      <c r="U570" s="523"/>
      <c r="V570" s="523"/>
      <c r="W570" s="523"/>
      <c r="X570" s="523"/>
      <c r="Y570" s="523"/>
      <c r="Z570" s="523"/>
    </row>
    <row r="571" spans="1:26" ht="15.75" customHeight="1">
      <c r="A571" s="523"/>
      <c r="B571" s="523"/>
      <c r="C571" s="523"/>
      <c r="D571" s="523"/>
      <c r="E571" s="523"/>
      <c r="F571" s="523"/>
      <c r="G571" s="523"/>
      <c r="H571" s="524"/>
      <c r="I571" s="523"/>
      <c r="J571" s="523"/>
      <c r="K571" s="523"/>
      <c r="L571" s="523"/>
      <c r="M571" s="523"/>
      <c r="N571" s="523"/>
      <c r="O571" s="523"/>
      <c r="P571" s="523"/>
      <c r="Q571" s="523"/>
      <c r="R571" s="523"/>
      <c r="S571" s="523"/>
      <c r="T571" s="523"/>
      <c r="U571" s="523"/>
      <c r="V571" s="523"/>
      <c r="W571" s="523"/>
      <c r="X571" s="523"/>
      <c r="Y571" s="523"/>
      <c r="Z571" s="523"/>
    </row>
    <row r="572" spans="1:26" ht="15.75" customHeight="1">
      <c r="A572" s="523"/>
      <c r="B572" s="523"/>
      <c r="C572" s="523"/>
      <c r="D572" s="523"/>
      <c r="E572" s="523"/>
      <c r="F572" s="523"/>
      <c r="G572" s="523"/>
      <c r="H572" s="524"/>
      <c r="I572" s="523"/>
      <c r="J572" s="523"/>
      <c r="K572" s="523"/>
      <c r="L572" s="523"/>
      <c r="M572" s="523"/>
      <c r="N572" s="523"/>
      <c r="O572" s="523"/>
      <c r="P572" s="523"/>
      <c r="Q572" s="523"/>
      <c r="R572" s="523"/>
      <c r="S572" s="523"/>
      <c r="T572" s="523"/>
      <c r="U572" s="523"/>
      <c r="V572" s="523"/>
      <c r="W572" s="523"/>
      <c r="X572" s="523"/>
      <c r="Y572" s="523"/>
      <c r="Z572" s="523"/>
    </row>
    <row r="573" spans="1:26" ht="15.75" customHeight="1">
      <c r="A573" s="523"/>
      <c r="B573" s="523"/>
      <c r="C573" s="523"/>
      <c r="D573" s="523"/>
      <c r="E573" s="523"/>
      <c r="F573" s="523"/>
      <c r="G573" s="523"/>
      <c r="H573" s="524"/>
      <c r="I573" s="523"/>
      <c r="J573" s="523"/>
      <c r="K573" s="523"/>
      <c r="L573" s="523"/>
      <c r="M573" s="523"/>
      <c r="N573" s="523"/>
      <c r="O573" s="523"/>
      <c r="P573" s="523"/>
      <c r="Q573" s="523"/>
      <c r="R573" s="523"/>
      <c r="S573" s="523"/>
      <c r="T573" s="523"/>
      <c r="U573" s="523"/>
      <c r="V573" s="523"/>
      <c r="W573" s="523"/>
      <c r="X573" s="523"/>
      <c r="Y573" s="523"/>
      <c r="Z573" s="523"/>
    </row>
    <row r="574" spans="1:26" ht="15.75" customHeight="1">
      <c r="A574" s="523"/>
      <c r="B574" s="523"/>
      <c r="C574" s="523"/>
      <c r="D574" s="523"/>
      <c r="E574" s="523"/>
      <c r="F574" s="523"/>
      <c r="G574" s="523"/>
      <c r="H574" s="524"/>
      <c r="I574" s="523"/>
      <c r="J574" s="523"/>
      <c r="K574" s="523"/>
      <c r="L574" s="523"/>
      <c r="M574" s="523"/>
      <c r="N574" s="523"/>
      <c r="O574" s="523"/>
      <c r="P574" s="523"/>
      <c r="Q574" s="523"/>
      <c r="R574" s="523"/>
      <c r="S574" s="523"/>
      <c r="T574" s="523"/>
      <c r="U574" s="523"/>
      <c r="V574" s="523"/>
      <c r="W574" s="523"/>
      <c r="X574" s="523"/>
      <c r="Y574" s="523"/>
      <c r="Z574" s="523"/>
    </row>
    <row r="575" spans="1:26" ht="15.75" customHeight="1">
      <c r="A575" s="523"/>
      <c r="B575" s="523"/>
      <c r="C575" s="523"/>
      <c r="D575" s="523"/>
      <c r="E575" s="523"/>
      <c r="F575" s="523"/>
      <c r="G575" s="523"/>
      <c r="H575" s="524"/>
      <c r="I575" s="523"/>
      <c r="J575" s="523"/>
      <c r="K575" s="523"/>
      <c r="L575" s="523"/>
      <c r="M575" s="523"/>
      <c r="N575" s="523"/>
      <c r="O575" s="523"/>
      <c r="P575" s="523"/>
      <c r="Q575" s="523"/>
      <c r="R575" s="523"/>
      <c r="S575" s="523"/>
      <c r="T575" s="523"/>
      <c r="U575" s="523"/>
      <c r="V575" s="523"/>
      <c r="W575" s="523"/>
      <c r="X575" s="523"/>
      <c r="Y575" s="523"/>
      <c r="Z575" s="523"/>
    </row>
    <row r="576" spans="1:26" ht="15.75" customHeight="1">
      <c r="A576" s="523"/>
      <c r="B576" s="523"/>
      <c r="C576" s="523"/>
      <c r="D576" s="523"/>
      <c r="E576" s="523"/>
      <c r="F576" s="523"/>
      <c r="G576" s="523"/>
      <c r="H576" s="524"/>
      <c r="I576" s="523"/>
      <c r="J576" s="523"/>
      <c r="K576" s="523"/>
      <c r="L576" s="523"/>
      <c r="M576" s="523"/>
      <c r="N576" s="523"/>
      <c r="O576" s="523"/>
      <c r="P576" s="523"/>
      <c r="Q576" s="523"/>
      <c r="R576" s="523"/>
      <c r="S576" s="523"/>
      <c r="T576" s="523"/>
      <c r="U576" s="523"/>
      <c r="V576" s="523"/>
      <c r="W576" s="523"/>
      <c r="X576" s="523"/>
      <c r="Y576" s="523"/>
      <c r="Z576" s="523"/>
    </row>
    <row r="577" spans="1:26" ht="15.75" customHeight="1">
      <c r="A577" s="523"/>
      <c r="B577" s="523"/>
      <c r="C577" s="523"/>
      <c r="D577" s="523"/>
      <c r="E577" s="523"/>
      <c r="F577" s="523"/>
      <c r="G577" s="523"/>
      <c r="H577" s="524"/>
      <c r="I577" s="523"/>
      <c r="J577" s="523"/>
      <c r="K577" s="523"/>
      <c r="L577" s="523"/>
      <c r="M577" s="523"/>
      <c r="N577" s="523"/>
      <c r="O577" s="523"/>
      <c r="P577" s="523"/>
      <c r="Q577" s="523"/>
      <c r="R577" s="523"/>
      <c r="S577" s="523"/>
      <c r="T577" s="523"/>
      <c r="U577" s="523"/>
      <c r="V577" s="523"/>
      <c r="W577" s="523"/>
      <c r="X577" s="523"/>
      <c r="Y577" s="523"/>
      <c r="Z577" s="523"/>
    </row>
    <row r="578" spans="1:26" ht="15.75" customHeight="1">
      <c r="A578" s="523"/>
      <c r="B578" s="523"/>
      <c r="C578" s="523"/>
      <c r="D578" s="523"/>
      <c r="E578" s="523"/>
      <c r="F578" s="523"/>
      <c r="G578" s="523"/>
      <c r="H578" s="524"/>
      <c r="I578" s="523"/>
      <c r="J578" s="523"/>
      <c r="K578" s="523"/>
      <c r="L578" s="523"/>
      <c r="M578" s="523"/>
      <c r="N578" s="523"/>
      <c r="O578" s="523"/>
      <c r="P578" s="523"/>
      <c r="Q578" s="523"/>
      <c r="R578" s="523"/>
      <c r="S578" s="523"/>
      <c r="T578" s="523"/>
      <c r="U578" s="523"/>
      <c r="V578" s="523"/>
      <c r="W578" s="523"/>
      <c r="X578" s="523"/>
      <c r="Y578" s="523"/>
      <c r="Z578" s="523"/>
    </row>
    <row r="579" spans="1:26" ht="15.75" customHeight="1">
      <c r="A579" s="523"/>
      <c r="B579" s="523"/>
      <c r="C579" s="523"/>
      <c r="D579" s="523"/>
      <c r="E579" s="523"/>
      <c r="F579" s="523"/>
      <c r="G579" s="523"/>
      <c r="H579" s="524"/>
      <c r="I579" s="523"/>
      <c r="J579" s="523"/>
      <c r="K579" s="523"/>
      <c r="L579" s="523"/>
      <c r="M579" s="523"/>
      <c r="N579" s="523"/>
      <c r="O579" s="523"/>
      <c r="P579" s="523"/>
      <c r="Q579" s="523"/>
      <c r="R579" s="523"/>
      <c r="S579" s="523"/>
      <c r="T579" s="523"/>
      <c r="U579" s="523"/>
      <c r="V579" s="523"/>
      <c r="W579" s="523"/>
      <c r="X579" s="523"/>
      <c r="Y579" s="523"/>
      <c r="Z579" s="523"/>
    </row>
    <row r="580" spans="1:26" ht="15.75" customHeight="1">
      <c r="A580" s="523"/>
      <c r="B580" s="523"/>
      <c r="C580" s="523"/>
      <c r="D580" s="523"/>
      <c r="E580" s="523"/>
      <c r="F580" s="523"/>
      <c r="G580" s="523"/>
      <c r="H580" s="524"/>
      <c r="I580" s="523"/>
      <c r="J580" s="523"/>
      <c r="K580" s="523"/>
      <c r="L580" s="523"/>
      <c r="M580" s="523"/>
      <c r="N580" s="523"/>
      <c r="O580" s="523"/>
      <c r="P580" s="523"/>
      <c r="Q580" s="523"/>
      <c r="R580" s="523"/>
      <c r="S580" s="523"/>
      <c r="T580" s="523"/>
      <c r="U580" s="523"/>
      <c r="V580" s="523"/>
      <c r="W580" s="523"/>
      <c r="X580" s="523"/>
      <c r="Y580" s="523"/>
      <c r="Z580" s="523"/>
    </row>
    <row r="581" spans="1:26" ht="15.75" customHeight="1">
      <c r="A581" s="523"/>
      <c r="B581" s="523"/>
      <c r="C581" s="523"/>
      <c r="D581" s="523"/>
      <c r="E581" s="523"/>
      <c r="F581" s="523"/>
      <c r="G581" s="523"/>
      <c r="H581" s="524"/>
      <c r="I581" s="523"/>
      <c r="J581" s="523"/>
      <c r="K581" s="523"/>
      <c r="L581" s="523"/>
      <c r="M581" s="523"/>
      <c r="N581" s="523"/>
      <c r="O581" s="523"/>
      <c r="P581" s="523"/>
      <c r="Q581" s="523"/>
      <c r="R581" s="523"/>
      <c r="S581" s="523"/>
      <c r="T581" s="523"/>
      <c r="U581" s="523"/>
      <c r="V581" s="523"/>
      <c r="W581" s="523"/>
      <c r="X581" s="523"/>
      <c r="Y581" s="523"/>
      <c r="Z581" s="523"/>
    </row>
    <row r="582" spans="1:26" ht="15.75" customHeight="1">
      <c r="A582" s="523"/>
      <c r="B582" s="523"/>
      <c r="C582" s="523"/>
      <c r="D582" s="523"/>
      <c r="E582" s="523"/>
      <c r="F582" s="523"/>
      <c r="G582" s="523"/>
      <c r="H582" s="524"/>
      <c r="I582" s="523"/>
      <c r="J582" s="523"/>
      <c r="K582" s="523"/>
      <c r="L582" s="523"/>
      <c r="M582" s="523"/>
      <c r="N582" s="523"/>
      <c r="O582" s="523"/>
      <c r="P582" s="523"/>
      <c r="Q582" s="523"/>
      <c r="R582" s="523"/>
      <c r="S582" s="523"/>
      <c r="T582" s="523"/>
      <c r="U582" s="523"/>
      <c r="V582" s="523"/>
      <c r="W582" s="523"/>
      <c r="X582" s="523"/>
      <c r="Y582" s="523"/>
      <c r="Z582" s="523"/>
    </row>
    <row r="583" spans="1:26" ht="15.75" customHeight="1">
      <c r="A583" s="523"/>
      <c r="B583" s="523"/>
      <c r="C583" s="523"/>
      <c r="D583" s="523"/>
      <c r="E583" s="523"/>
      <c r="F583" s="523"/>
      <c r="G583" s="523"/>
      <c r="H583" s="524"/>
      <c r="I583" s="523"/>
      <c r="J583" s="523"/>
      <c r="K583" s="523"/>
      <c r="L583" s="523"/>
      <c r="M583" s="523"/>
      <c r="N583" s="523"/>
      <c r="O583" s="523"/>
      <c r="P583" s="523"/>
      <c r="Q583" s="523"/>
      <c r="R583" s="523"/>
      <c r="S583" s="523"/>
      <c r="T583" s="523"/>
      <c r="U583" s="523"/>
      <c r="V583" s="523"/>
      <c r="W583" s="523"/>
      <c r="X583" s="523"/>
      <c r="Y583" s="523"/>
      <c r="Z583" s="523"/>
    </row>
    <row r="584" spans="1:26" ht="15.75" customHeight="1">
      <c r="A584" s="523"/>
      <c r="B584" s="523"/>
      <c r="C584" s="523"/>
      <c r="D584" s="523"/>
      <c r="E584" s="523"/>
      <c r="F584" s="523"/>
      <c r="G584" s="523"/>
      <c r="H584" s="524"/>
      <c r="I584" s="523"/>
      <c r="J584" s="523"/>
      <c r="K584" s="523"/>
      <c r="L584" s="523"/>
      <c r="M584" s="523"/>
      <c r="N584" s="523"/>
      <c r="O584" s="523"/>
      <c r="P584" s="523"/>
      <c r="Q584" s="523"/>
      <c r="R584" s="523"/>
      <c r="S584" s="523"/>
      <c r="T584" s="523"/>
      <c r="U584" s="523"/>
      <c r="V584" s="523"/>
      <c r="W584" s="523"/>
      <c r="X584" s="523"/>
      <c r="Y584" s="523"/>
      <c r="Z584" s="523"/>
    </row>
    <row r="585" spans="1:26" ht="15.75" customHeight="1">
      <c r="A585" s="523"/>
      <c r="B585" s="523"/>
      <c r="C585" s="523"/>
      <c r="D585" s="523"/>
      <c r="E585" s="523"/>
      <c r="F585" s="523"/>
      <c r="G585" s="523"/>
      <c r="H585" s="524"/>
      <c r="I585" s="523"/>
      <c r="J585" s="523"/>
      <c r="K585" s="523"/>
      <c r="L585" s="523"/>
      <c r="M585" s="523"/>
      <c r="N585" s="523"/>
      <c r="O585" s="523"/>
      <c r="P585" s="523"/>
      <c r="Q585" s="523"/>
      <c r="R585" s="523"/>
      <c r="S585" s="523"/>
      <c r="T585" s="523"/>
      <c r="U585" s="523"/>
      <c r="V585" s="523"/>
      <c r="W585" s="523"/>
      <c r="X585" s="523"/>
      <c r="Y585" s="523"/>
      <c r="Z585" s="523"/>
    </row>
    <row r="586" spans="1:26" ht="15.75" customHeight="1">
      <c r="A586" s="523"/>
      <c r="B586" s="523"/>
      <c r="C586" s="523"/>
      <c r="D586" s="523"/>
      <c r="E586" s="523"/>
      <c r="F586" s="523"/>
      <c r="G586" s="523"/>
      <c r="H586" s="524"/>
      <c r="I586" s="523"/>
      <c r="J586" s="523"/>
      <c r="K586" s="523"/>
      <c r="L586" s="523"/>
      <c r="M586" s="523"/>
      <c r="N586" s="523"/>
      <c r="O586" s="523"/>
      <c r="P586" s="523"/>
      <c r="Q586" s="523"/>
      <c r="R586" s="523"/>
      <c r="S586" s="523"/>
      <c r="T586" s="523"/>
      <c r="U586" s="523"/>
      <c r="V586" s="523"/>
      <c r="W586" s="523"/>
      <c r="X586" s="523"/>
      <c r="Y586" s="523"/>
      <c r="Z586" s="523"/>
    </row>
    <row r="587" spans="1:26" ht="15.75" customHeight="1">
      <c r="A587" s="523"/>
      <c r="B587" s="523"/>
      <c r="C587" s="523"/>
      <c r="D587" s="523"/>
      <c r="E587" s="523"/>
      <c r="F587" s="523"/>
      <c r="G587" s="523"/>
      <c r="H587" s="524"/>
      <c r="I587" s="523"/>
      <c r="J587" s="523"/>
      <c r="K587" s="523"/>
      <c r="L587" s="523"/>
      <c r="M587" s="523"/>
      <c r="N587" s="523"/>
      <c r="O587" s="523"/>
      <c r="P587" s="523"/>
      <c r="Q587" s="523"/>
      <c r="R587" s="523"/>
      <c r="S587" s="523"/>
      <c r="T587" s="523"/>
      <c r="U587" s="523"/>
      <c r="V587" s="523"/>
      <c r="W587" s="523"/>
      <c r="X587" s="523"/>
      <c r="Y587" s="523"/>
      <c r="Z587" s="523"/>
    </row>
    <row r="588" spans="1:26" ht="15.75" customHeight="1">
      <c r="A588" s="523"/>
      <c r="B588" s="523"/>
      <c r="C588" s="523"/>
      <c r="D588" s="523"/>
      <c r="E588" s="523"/>
      <c r="F588" s="523"/>
      <c r="G588" s="523"/>
      <c r="H588" s="524"/>
      <c r="I588" s="523"/>
      <c r="J588" s="523"/>
      <c r="K588" s="523"/>
      <c r="L588" s="523"/>
      <c r="M588" s="523"/>
      <c r="N588" s="523"/>
      <c r="O588" s="523"/>
      <c r="P588" s="523"/>
      <c r="Q588" s="523"/>
      <c r="R588" s="523"/>
      <c r="S588" s="523"/>
      <c r="T588" s="523"/>
      <c r="U588" s="523"/>
      <c r="V588" s="523"/>
      <c r="W588" s="523"/>
      <c r="X588" s="523"/>
      <c r="Y588" s="523"/>
      <c r="Z588" s="523"/>
    </row>
    <row r="589" spans="1:26" ht="15.75" customHeight="1">
      <c r="A589" s="523"/>
      <c r="B589" s="523"/>
      <c r="C589" s="523"/>
      <c r="D589" s="523"/>
      <c r="E589" s="523"/>
      <c r="F589" s="523"/>
      <c r="G589" s="523"/>
      <c r="H589" s="524"/>
      <c r="I589" s="523"/>
      <c r="J589" s="523"/>
      <c r="K589" s="523"/>
      <c r="L589" s="523"/>
      <c r="M589" s="523"/>
      <c r="N589" s="523"/>
      <c r="O589" s="523"/>
      <c r="P589" s="523"/>
      <c r="Q589" s="523"/>
      <c r="R589" s="523"/>
      <c r="S589" s="523"/>
      <c r="T589" s="523"/>
      <c r="U589" s="523"/>
      <c r="V589" s="523"/>
      <c r="W589" s="523"/>
      <c r="X589" s="523"/>
      <c r="Y589" s="523"/>
      <c r="Z589" s="523"/>
    </row>
    <row r="590" spans="1:26" ht="15.75" customHeight="1">
      <c r="A590" s="523"/>
      <c r="B590" s="523"/>
      <c r="C590" s="523"/>
      <c r="D590" s="523"/>
      <c r="E590" s="523"/>
      <c r="F590" s="523"/>
      <c r="G590" s="523"/>
      <c r="H590" s="524"/>
      <c r="I590" s="523"/>
      <c r="J590" s="523"/>
      <c r="K590" s="523"/>
      <c r="L590" s="523"/>
      <c r="M590" s="523"/>
      <c r="N590" s="523"/>
      <c r="O590" s="523"/>
      <c r="P590" s="523"/>
      <c r="Q590" s="523"/>
      <c r="R590" s="523"/>
      <c r="S590" s="523"/>
      <c r="T590" s="523"/>
      <c r="U590" s="523"/>
      <c r="V590" s="523"/>
      <c r="W590" s="523"/>
      <c r="X590" s="523"/>
      <c r="Y590" s="523"/>
      <c r="Z590" s="523"/>
    </row>
    <row r="591" spans="1:26" ht="15.75" customHeight="1">
      <c r="A591" s="523"/>
      <c r="B591" s="523"/>
      <c r="C591" s="523"/>
      <c r="D591" s="523"/>
      <c r="E591" s="523"/>
      <c r="F591" s="523"/>
      <c r="G591" s="523"/>
      <c r="H591" s="524"/>
      <c r="I591" s="523"/>
      <c r="J591" s="523"/>
      <c r="K591" s="523"/>
      <c r="L591" s="523"/>
      <c r="M591" s="523"/>
      <c r="N591" s="523"/>
      <c r="O591" s="523"/>
      <c r="P591" s="523"/>
      <c r="Q591" s="523"/>
      <c r="R591" s="523"/>
      <c r="S591" s="523"/>
      <c r="T591" s="523"/>
      <c r="U591" s="523"/>
      <c r="V591" s="523"/>
      <c r="W591" s="523"/>
      <c r="X591" s="523"/>
      <c r="Y591" s="523"/>
      <c r="Z591" s="523"/>
    </row>
    <row r="592" spans="1:26" ht="15.75" customHeight="1">
      <c r="A592" s="523"/>
      <c r="B592" s="523"/>
      <c r="C592" s="523"/>
      <c r="D592" s="523"/>
      <c r="E592" s="523"/>
      <c r="F592" s="523"/>
      <c r="G592" s="523"/>
      <c r="H592" s="524"/>
      <c r="I592" s="523"/>
      <c r="J592" s="523"/>
      <c r="K592" s="523"/>
      <c r="L592" s="523"/>
      <c r="M592" s="523"/>
      <c r="N592" s="523"/>
      <c r="O592" s="523"/>
      <c r="P592" s="523"/>
      <c r="Q592" s="523"/>
      <c r="R592" s="523"/>
      <c r="S592" s="523"/>
      <c r="T592" s="523"/>
      <c r="U592" s="523"/>
      <c r="V592" s="523"/>
      <c r="W592" s="523"/>
      <c r="X592" s="523"/>
      <c r="Y592" s="523"/>
      <c r="Z592" s="523"/>
    </row>
    <row r="593" spans="1:26" ht="15.75" customHeight="1">
      <c r="A593" s="523"/>
      <c r="B593" s="523"/>
      <c r="C593" s="523"/>
      <c r="D593" s="523"/>
      <c r="E593" s="523"/>
      <c r="F593" s="523"/>
      <c r="G593" s="523"/>
      <c r="H593" s="524"/>
      <c r="I593" s="523"/>
      <c r="J593" s="523"/>
      <c r="K593" s="523"/>
      <c r="L593" s="523"/>
      <c r="M593" s="523"/>
      <c r="N593" s="523"/>
      <c r="O593" s="523"/>
      <c r="P593" s="523"/>
      <c r="Q593" s="523"/>
      <c r="R593" s="523"/>
      <c r="S593" s="523"/>
      <c r="T593" s="523"/>
      <c r="U593" s="523"/>
      <c r="V593" s="523"/>
      <c r="W593" s="523"/>
      <c r="X593" s="523"/>
      <c r="Y593" s="523"/>
      <c r="Z593" s="523"/>
    </row>
    <row r="594" spans="1:26" ht="15.75" customHeight="1">
      <c r="A594" s="523"/>
      <c r="B594" s="523"/>
      <c r="C594" s="523"/>
      <c r="D594" s="523"/>
      <c r="E594" s="523"/>
      <c r="F594" s="523"/>
      <c r="G594" s="523"/>
      <c r="H594" s="524"/>
      <c r="I594" s="523"/>
      <c r="J594" s="523"/>
      <c r="K594" s="523"/>
      <c r="L594" s="523"/>
      <c r="M594" s="523"/>
      <c r="N594" s="523"/>
      <c r="O594" s="523"/>
      <c r="P594" s="523"/>
      <c r="Q594" s="523"/>
      <c r="R594" s="523"/>
      <c r="S594" s="523"/>
      <c r="T594" s="523"/>
      <c r="U594" s="523"/>
      <c r="V594" s="523"/>
      <c r="W594" s="523"/>
      <c r="X594" s="523"/>
      <c r="Y594" s="523"/>
      <c r="Z594" s="523"/>
    </row>
    <row r="595" spans="1:26" ht="15.75" customHeight="1">
      <c r="A595" s="523"/>
      <c r="B595" s="523"/>
      <c r="C595" s="523"/>
      <c r="D595" s="523"/>
      <c r="E595" s="523"/>
      <c r="F595" s="523"/>
      <c r="G595" s="523"/>
      <c r="H595" s="524"/>
      <c r="I595" s="523"/>
      <c r="J595" s="523"/>
      <c r="K595" s="523"/>
      <c r="L595" s="523"/>
      <c r="M595" s="523"/>
      <c r="N595" s="523"/>
      <c r="O595" s="523"/>
      <c r="P595" s="523"/>
      <c r="Q595" s="523"/>
      <c r="R595" s="523"/>
      <c r="S595" s="523"/>
      <c r="T595" s="523"/>
      <c r="U595" s="523"/>
      <c r="V595" s="523"/>
      <c r="W595" s="523"/>
      <c r="X595" s="523"/>
      <c r="Y595" s="523"/>
      <c r="Z595" s="523"/>
    </row>
    <row r="596" spans="1:26" ht="15.75" customHeight="1">
      <c r="A596" s="523"/>
      <c r="B596" s="523"/>
      <c r="C596" s="523"/>
      <c r="D596" s="523"/>
      <c r="E596" s="523"/>
      <c r="F596" s="523"/>
      <c r="G596" s="523"/>
      <c r="H596" s="524"/>
      <c r="I596" s="523"/>
      <c r="J596" s="523"/>
      <c r="K596" s="523"/>
      <c r="L596" s="523"/>
      <c r="M596" s="523"/>
      <c r="N596" s="523"/>
      <c r="O596" s="523"/>
      <c r="P596" s="523"/>
      <c r="Q596" s="523"/>
      <c r="R596" s="523"/>
      <c r="S596" s="523"/>
      <c r="T596" s="523"/>
      <c r="U596" s="523"/>
      <c r="V596" s="523"/>
      <c r="W596" s="523"/>
      <c r="X596" s="523"/>
      <c r="Y596" s="523"/>
      <c r="Z596" s="523"/>
    </row>
    <row r="597" spans="1:26" ht="15.75" customHeight="1">
      <c r="A597" s="523"/>
      <c r="B597" s="523"/>
      <c r="C597" s="523"/>
      <c r="D597" s="523"/>
      <c r="E597" s="523"/>
      <c r="F597" s="523"/>
      <c r="G597" s="523"/>
      <c r="H597" s="524"/>
      <c r="I597" s="523"/>
      <c r="J597" s="523"/>
      <c r="K597" s="523"/>
      <c r="L597" s="523"/>
      <c r="M597" s="523"/>
      <c r="N597" s="523"/>
      <c r="O597" s="523"/>
      <c r="P597" s="523"/>
      <c r="Q597" s="523"/>
      <c r="R597" s="523"/>
      <c r="S597" s="523"/>
      <c r="T597" s="523"/>
      <c r="U597" s="523"/>
      <c r="V597" s="523"/>
      <c r="W597" s="523"/>
      <c r="X597" s="523"/>
      <c r="Y597" s="523"/>
      <c r="Z597" s="523"/>
    </row>
    <row r="598" spans="1:26" ht="15.75" customHeight="1">
      <c r="A598" s="523"/>
      <c r="B598" s="523"/>
      <c r="C598" s="523"/>
      <c r="D598" s="523"/>
      <c r="E598" s="523"/>
      <c r="F598" s="523"/>
      <c r="G598" s="523"/>
      <c r="H598" s="524"/>
      <c r="I598" s="523"/>
      <c r="J598" s="523"/>
      <c r="K598" s="523"/>
      <c r="L598" s="523"/>
      <c r="M598" s="523"/>
      <c r="N598" s="523"/>
      <c r="O598" s="523"/>
      <c r="P598" s="523"/>
      <c r="Q598" s="523"/>
      <c r="R598" s="523"/>
      <c r="S598" s="523"/>
      <c r="T598" s="523"/>
      <c r="U598" s="523"/>
      <c r="V598" s="523"/>
      <c r="W598" s="523"/>
      <c r="X598" s="523"/>
      <c r="Y598" s="523"/>
      <c r="Z598" s="523"/>
    </row>
    <row r="599" spans="1:26" ht="15.75" customHeight="1">
      <c r="A599" s="523"/>
      <c r="B599" s="523"/>
      <c r="C599" s="523"/>
      <c r="D599" s="523"/>
      <c r="E599" s="523"/>
      <c r="F599" s="523"/>
      <c r="G599" s="523"/>
      <c r="H599" s="524"/>
      <c r="I599" s="523"/>
      <c r="J599" s="523"/>
      <c r="K599" s="523"/>
      <c r="L599" s="523"/>
      <c r="M599" s="523"/>
      <c r="N599" s="523"/>
      <c r="O599" s="523"/>
      <c r="P599" s="523"/>
      <c r="Q599" s="523"/>
      <c r="R599" s="523"/>
      <c r="S599" s="523"/>
      <c r="T599" s="523"/>
      <c r="U599" s="523"/>
      <c r="V599" s="523"/>
      <c r="W599" s="523"/>
      <c r="X599" s="523"/>
      <c r="Y599" s="523"/>
      <c r="Z599" s="523"/>
    </row>
    <row r="600" spans="1:26" ht="15.75" customHeight="1">
      <c r="A600" s="523"/>
      <c r="B600" s="523"/>
      <c r="C600" s="523"/>
      <c r="D600" s="523"/>
      <c r="E600" s="523"/>
      <c r="F600" s="523"/>
      <c r="G600" s="523"/>
      <c r="H600" s="524"/>
      <c r="I600" s="523"/>
      <c r="J600" s="523"/>
      <c r="K600" s="523"/>
      <c r="L600" s="523"/>
      <c r="M600" s="523"/>
      <c r="N600" s="523"/>
      <c r="O600" s="523"/>
      <c r="P600" s="523"/>
      <c r="Q600" s="523"/>
      <c r="R600" s="523"/>
      <c r="S600" s="523"/>
      <c r="T600" s="523"/>
      <c r="U600" s="523"/>
      <c r="V600" s="523"/>
      <c r="W600" s="523"/>
      <c r="X600" s="523"/>
      <c r="Y600" s="523"/>
      <c r="Z600" s="523"/>
    </row>
    <row r="601" spans="1:26" ht="15.75" customHeight="1">
      <c r="A601" s="523"/>
      <c r="B601" s="523"/>
      <c r="C601" s="523"/>
      <c r="D601" s="523"/>
      <c r="E601" s="523"/>
      <c r="F601" s="523"/>
      <c r="G601" s="523"/>
      <c r="H601" s="524"/>
      <c r="I601" s="523"/>
      <c r="J601" s="523"/>
      <c r="K601" s="523"/>
      <c r="L601" s="523"/>
      <c r="M601" s="523"/>
      <c r="N601" s="523"/>
      <c r="O601" s="523"/>
      <c r="P601" s="523"/>
      <c r="Q601" s="523"/>
      <c r="R601" s="523"/>
      <c r="S601" s="523"/>
      <c r="T601" s="523"/>
      <c r="U601" s="523"/>
      <c r="V601" s="523"/>
      <c r="W601" s="523"/>
      <c r="X601" s="523"/>
      <c r="Y601" s="523"/>
      <c r="Z601" s="523"/>
    </row>
    <row r="602" spans="1:26" ht="15.75" customHeight="1">
      <c r="A602" s="523"/>
      <c r="B602" s="523"/>
      <c r="C602" s="523"/>
      <c r="D602" s="523"/>
      <c r="E602" s="523"/>
      <c r="F602" s="523"/>
      <c r="G602" s="523"/>
      <c r="H602" s="524"/>
      <c r="I602" s="523"/>
      <c r="J602" s="523"/>
      <c r="K602" s="523"/>
      <c r="L602" s="523"/>
      <c r="M602" s="523"/>
      <c r="N602" s="523"/>
      <c r="O602" s="523"/>
      <c r="P602" s="523"/>
      <c r="Q602" s="523"/>
      <c r="R602" s="523"/>
      <c r="S602" s="523"/>
      <c r="T602" s="523"/>
      <c r="U602" s="523"/>
      <c r="V602" s="523"/>
      <c r="W602" s="523"/>
      <c r="X602" s="523"/>
      <c r="Y602" s="523"/>
      <c r="Z602" s="523"/>
    </row>
    <row r="603" spans="1:26" ht="15.75" customHeight="1">
      <c r="A603" s="523"/>
      <c r="B603" s="523"/>
      <c r="C603" s="523"/>
      <c r="D603" s="523"/>
      <c r="E603" s="523"/>
      <c r="F603" s="523"/>
      <c r="G603" s="523"/>
      <c r="H603" s="524"/>
      <c r="I603" s="523"/>
      <c r="J603" s="523"/>
      <c r="K603" s="523"/>
      <c r="L603" s="523"/>
      <c r="M603" s="523"/>
      <c r="N603" s="523"/>
      <c r="O603" s="523"/>
      <c r="P603" s="523"/>
      <c r="Q603" s="523"/>
      <c r="R603" s="523"/>
      <c r="S603" s="523"/>
      <c r="T603" s="523"/>
      <c r="U603" s="523"/>
      <c r="V603" s="523"/>
      <c r="W603" s="523"/>
      <c r="X603" s="523"/>
      <c r="Y603" s="523"/>
      <c r="Z603" s="523"/>
    </row>
    <row r="604" spans="1:26" ht="15.75" customHeight="1">
      <c r="A604" s="523"/>
      <c r="B604" s="523"/>
      <c r="C604" s="523"/>
      <c r="D604" s="523"/>
      <c r="E604" s="523"/>
      <c r="F604" s="523"/>
      <c r="G604" s="523"/>
      <c r="H604" s="524"/>
      <c r="I604" s="523"/>
      <c r="J604" s="523"/>
      <c r="K604" s="523"/>
      <c r="L604" s="523"/>
      <c r="M604" s="523"/>
      <c r="N604" s="523"/>
      <c r="O604" s="523"/>
      <c r="P604" s="523"/>
      <c r="Q604" s="523"/>
      <c r="R604" s="523"/>
      <c r="S604" s="523"/>
      <c r="T604" s="523"/>
      <c r="U604" s="523"/>
      <c r="V604" s="523"/>
      <c r="W604" s="523"/>
      <c r="X604" s="523"/>
      <c r="Y604" s="523"/>
      <c r="Z604" s="523"/>
    </row>
    <row r="605" spans="1:26" ht="15.75" customHeight="1">
      <c r="A605" s="523"/>
      <c r="B605" s="523"/>
      <c r="C605" s="523"/>
      <c r="D605" s="523"/>
      <c r="E605" s="523"/>
      <c r="F605" s="523"/>
      <c r="G605" s="523"/>
      <c r="H605" s="524"/>
      <c r="I605" s="523"/>
      <c r="J605" s="523"/>
      <c r="K605" s="523"/>
      <c r="L605" s="523"/>
      <c r="M605" s="523"/>
      <c r="N605" s="523"/>
      <c r="O605" s="523"/>
      <c r="P605" s="523"/>
      <c r="Q605" s="523"/>
      <c r="R605" s="523"/>
      <c r="S605" s="523"/>
      <c r="T605" s="523"/>
      <c r="U605" s="523"/>
      <c r="V605" s="523"/>
      <c r="W605" s="523"/>
      <c r="X605" s="523"/>
      <c r="Y605" s="523"/>
      <c r="Z605" s="523"/>
    </row>
    <row r="606" spans="1:26" ht="15.75" customHeight="1">
      <c r="A606" s="523"/>
      <c r="B606" s="523"/>
      <c r="C606" s="523"/>
      <c r="D606" s="523"/>
      <c r="E606" s="523"/>
      <c r="F606" s="523"/>
      <c r="G606" s="523"/>
      <c r="H606" s="524"/>
      <c r="I606" s="523"/>
      <c r="J606" s="523"/>
      <c r="K606" s="523"/>
      <c r="L606" s="523"/>
      <c r="M606" s="523"/>
      <c r="N606" s="523"/>
      <c r="O606" s="523"/>
      <c r="P606" s="523"/>
      <c r="Q606" s="523"/>
      <c r="R606" s="523"/>
      <c r="S606" s="523"/>
      <c r="T606" s="523"/>
      <c r="U606" s="523"/>
      <c r="V606" s="523"/>
      <c r="W606" s="523"/>
      <c r="X606" s="523"/>
      <c r="Y606" s="523"/>
      <c r="Z606" s="523"/>
    </row>
    <row r="607" spans="1:26" ht="15.75" customHeight="1">
      <c r="A607" s="523"/>
      <c r="B607" s="523"/>
      <c r="C607" s="523"/>
      <c r="D607" s="523"/>
      <c r="E607" s="523"/>
      <c r="F607" s="523"/>
      <c r="G607" s="523"/>
      <c r="H607" s="524"/>
      <c r="I607" s="523"/>
      <c r="J607" s="523"/>
      <c r="K607" s="523"/>
      <c r="L607" s="523"/>
      <c r="M607" s="523"/>
      <c r="N607" s="523"/>
      <c r="O607" s="523"/>
      <c r="P607" s="523"/>
      <c r="Q607" s="523"/>
      <c r="R607" s="523"/>
      <c r="S607" s="523"/>
      <c r="T607" s="523"/>
      <c r="U607" s="523"/>
      <c r="V607" s="523"/>
      <c r="W607" s="523"/>
      <c r="X607" s="523"/>
      <c r="Y607" s="523"/>
      <c r="Z607" s="523"/>
    </row>
    <row r="608" spans="1:26" ht="15.75" customHeight="1">
      <c r="A608" s="523"/>
      <c r="B608" s="523"/>
      <c r="C608" s="523"/>
      <c r="D608" s="523"/>
      <c r="E608" s="523"/>
      <c r="F608" s="523"/>
      <c r="G608" s="523"/>
      <c r="H608" s="524"/>
      <c r="I608" s="523"/>
      <c r="J608" s="523"/>
      <c r="K608" s="523"/>
      <c r="L608" s="523"/>
      <c r="M608" s="523"/>
      <c r="N608" s="523"/>
      <c r="O608" s="523"/>
      <c r="P608" s="523"/>
      <c r="Q608" s="523"/>
      <c r="R608" s="523"/>
      <c r="S608" s="523"/>
      <c r="T608" s="523"/>
      <c r="U608" s="523"/>
      <c r="V608" s="523"/>
      <c r="W608" s="523"/>
      <c r="X608" s="523"/>
      <c r="Y608" s="523"/>
      <c r="Z608" s="523"/>
    </row>
    <row r="609" spans="1:26" ht="15.75" customHeight="1">
      <c r="A609" s="523"/>
      <c r="B609" s="523"/>
      <c r="C609" s="523"/>
      <c r="D609" s="523"/>
      <c r="E609" s="523"/>
      <c r="F609" s="523"/>
      <c r="G609" s="523"/>
      <c r="H609" s="524"/>
      <c r="I609" s="523"/>
      <c r="J609" s="523"/>
      <c r="K609" s="523"/>
      <c r="L609" s="523"/>
      <c r="M609" s="523"/>
      <c r="N609" s="523"/>
      <c r="O609" s="523"/>
      <c r="P609" s="523"/>
      <c r="Q609" s="523"/>
      <c r="R609" s="523"/>
      <c r="S609" s="523"/>
      <c r="T609" s="523"/>
      <c r="U609" s="523"/>
      <c r="V609" s="523"/>
      <c r="W609" s="523"/>
      <c r="X609" s="523"/>
      <c r="Y609" s="523"/>
      <c r="Z609" s="523"/>
    </row>
    <row r="610" spans="1:26" ht="15.75" customHeight="1">
      <c r="A610" s="523"/>
      <c r="B610" s="523"/>
      <c r="C610" s="523"/>
      <c r="D610" s="523"/>
      <c r="E610" s="523"/>
      <c r="F610" s="523"/>
      <c r="G610" s="523"/>
      <c r="H610" s="524"/>
      <c r="I610" s="523"/>
      <c r="J610" s="523"/>
      <c r="K610" s="523"/>
      <c r="L610" s="523"/>
      <c r="M610" s="523"/>
      <c r="N610" s="523"/>
      <c r="O610" s="523"/>
      <c r="P610" s="523"/>
      <c r="Q610" s="523"/>
      <c r="R610" s="523"/>
      <c r="S610" s="523"/>
      <c r="T610" s="523"/>
      <c r="U610" s="523"/>
      <c r="V610" s="523"/>
      <c r="W610" s="523"/>
      <c r="X610" s="523"/>
      <c r="Y610" s="523"/>
      <c r="Z610" s="523"/>
    </row>
    <row r="611" spans="1:26" ht="15.75" customHeight="1">
      <c r="A611" s="523"/>
      <c r="B611" s="523"/>
      <c r="C611" s="523"/>
      <c r="D611" s="523"/>
      <c r="E611" s="523"/>
      <c r="F611" s="523"/>
      <c r="G611" s="523"/>
      <c r="H611" s="524"/>
      <c r="I611" s="523"/>
      <c r="J611" s="523"/>
      <c r="K611" s="523"/>
      <c r="L611" s="523"/>
      <c r="M611" s="523"/>
      <c r="N611" s="523"/>
      <c r="O611" s="523"/>
      <c r="P611" s="523"/>
      <c r="Q611" s="523"/>
      <c r="R611" s="523"/>
      <c r="S611" s="523"/>
      <c r="T611" s="523"/>
      <c r="U611" s="523"/>
      <c r="V611" s="523"/>
      <c r="W611" s="523"/>
      <c r="X611" s="523"/>
      <c r="Y611" s="523"/>
      <c r="Z611" s="523"/>
    </row>
    <row r="612" spans="1:26" ht="15.75" customHeight="1">
      <c r="A612" s="523"/>
      <c r="B612" s="523"/>
      <c r="C612" s="523"/>
      <c r="D612" s="523"/>
      <c r="E612" s="523"/>
      <c r="F612" s="523"/>
      <c r="G612" s="523"/>
      <c r="H612" s="524"/>
      <c r="I612" s="523"/>
      <c r="J612" s="523"/>
      <c r="K612" s="523"/>
      <c r="L612" s="523"/>
      <c r="M612" s="523"/>
      <c r="N612" s="523"/>
      <c r="O612" s="523"/>
      <c r="P612" s="523"/>
      <c r="Q612" s="523"/>
      <c r="R612" s="523"/>
      <c r="S612" s="523"/>
      <c r="T612" s="523"/>
      <c r="U612" s="523"/>
      <c r="V612" s="523"/>
      <c r="W612" s="523"/>
      <c r="X612" s="523"/>
      <c r="Y612" s="523"/>
      <c r="Z612" s="523"/>
    </row>
    <row r="613" spans="1:26" ht="15.75" customHeight="1">
      <c r="A613" s="523"/>
      <c r="B613" s="523"/>
      <c r="C613" s="523"/>
      <c r="D613" s="523"/>
      <c r="E613" s="523"/>
      <c r="F613" s="523"/>
      <c r="G613" s="523"/>
      <c r="H613" s="524"/>
      <c r="I613" s="523"/>
      <c r="J613" s="523"/>
      <c r="K613" s="523"/>
      <c r="L613" s="523"/>
      <c r="M613" s="523"/>
      <c r="N613" s="523"/>
      <c r="O613" s="523"/>
      <c r="P613" s="523"/>
      <c r="Q613" s="523"/>
      <c r="R613" s="523"/>
      <c r="S613" s="523"/>
      <c r="T613" s="523"/>
      <c r="U613" s="523"/>
      <c r="V613" s="523"/>
      <c r="W613" s="523"/>
      <c r="X613" s="523"/>
      <c r="Y613" s="523"/>
      <c r="Z613" s="523"/>
    </row>
    <row r="614" spans="1:26" ht="15.75" customHeight="1">
      <c r="A614" s="523"/>
      <c r="B614" s="523"/>
      <c r="C614" s="523"/>
      <c r="D614" s="523"/>
      <c r="E614" s="523"/>
      <c r="F614" s="523"/>
      <c r="G614" s="523"/>
      <c r="H614" s="524"/>
      <c r="I614" s="523"/>
      <c r="J614" s="523"/>
      <c r="K614" s="523"/>
      <c r="L614" s="523"/>
      <c r="M614" s="523"/>
      <c r="N614" s="523"/>
      <c r="O614" s="523"/>
      <c r="P614" s="523"/>
      <c r="Q614" s="523"/>
      <c r="R614" s="523"/>
      <c r="S614" s="523"/>
      <c r="T614" s="523"/>
      <c r="U614" s="523"/>
      <c r="V614" s="523"/>
      <c r="W614" s="523"/>
      <c r="X614" s="523"/>
      <c r="Y614" s="523"/>
      <c r="Z614" s="523"/>
    </row>
    <row r="615" spans="1:26" ht="15.75" customHeight="1">
      <c r="A615" s="523"/>
      <c r="B615" s="523"/>
      <c r="C615" s="523"/>
      <c r="D615" s="523"/>
      <c r="E615" s="523"/>
      <c r="F615" s="523"/>
      <c r="G615" s="523"/>
      <c r="H615" s="524"/>
      <c r="I615" s="523"/>
      <c r="J615" s="523"/>
      <c r="K615" s="523"/>
      <c r="L615" s="523"/>
      <c r="M615" s="523"/>
      <c r="N615" s="523"/>
      <c r="O615" s="523"/>
      <c r="P615" s="523"/>
      <c r="Q615" s="523"/>
      <c r="R615" s="523"/>
      <c r="S615" s="523"/>
      <c r="T615" s="523"/>
      <c r="U615" s="523"/>
      <c r="V615" s="523"/>
      <c r="W615" s="523"/>
      <c r="X615" s="523"/>
      <c r="Y615" s="523"/>
      <c r="Z615" s="523"/>
    </row>
    <row r="616" spans="1:26" ht="15.75" customHeight="1">
      <c r="A616" s="523"/>
      <c r="B616" s="523"/>
      <c r="C616" s="523"/>
      <c r="D616" s="523"/>
      <c r="E616" s="523"/>
      <c r="F616" s="523"/>
      <c r="G616" s="523"/>
      <c r="H616" s="524"/>
      <c r="I616" s="523"/>
      <c r="J616" s="523"/>
      <c r="K616" s="523"/>
      <c r="L616" s="523"/>
      <c r="M616" s="523"/>
      <c r="N616" s="523"/>
      <c r="O616" s="523"/>
      <c r="P616" s="523"/>
      <c r="Q616" s="523"/>
      <c r="R616" s="523"/>
      <c r="S616" s="523"/>
      <c r="T616" s="523"/>
      <c r="U616" s="523"/>
      <c r="V616" s="523"/>
      <c r="W616" s="523"/>
      <c r="X616" s="523"/>
      <c r="Y616" s="523"/>
      <c r="Z616" s="523"/>
    </row>
    <row r="617" spans="1:26" ht="15.75" customHeight="1">
      <c r="A617" s="523"/>
      <c r="B617" s="523"/>
      <c r="C617" s="523"/>
      <c r="D617" s="523"/>
      <c r="E617" s="523"/>
      <c r="F617" s="523"/>
      <c r="G617" s="523"/>
      <c r="H617" s="524"/>
      <c r="I617" s="523"/>
      <c r="J617" s="523"/>
      <c r="K617" s="523"/>
      <c r="L617" s="523"/>
      <c r="M617" s="523"/>
      <c r="N617" s="523"/>
      <c r="O617" s="523"/>
      <c r="P617" s="523"/>
      <c r="Q617" s="523"/>
      <c r="R617" s="523"/>
      <c r="S617" s="523"/>
      <c r="T617" s="523"/>
      <c r="U617" s="523"/>
      <c r="V617" s="523"/>
      <c r="W617" s="523"/>
      <c r="X617" s="523"/>
      <c r="Y617" s="523"/>
      <c r="Z617" s="523"/>
    </row>
    <row r="618" spans="1:26" ht="15.75" customHeight="1">
      <c r="A618" s="523"/>
      <c r="B618" s="523"/>
      <c r="C618" s="523"/>
      <c r="D618" s="523"/>
      <c r="E618" s="523"/>
      <c r="F618" s="523"/>
      <c r="G618" s="523"/>
      <c r="H618" s="524"/>
      <c r="I618" s="523"/>
      <c r="J618" s="523"/>
      <c r="K618" s="523"/>
      <c r="L618" s="523"/>
      <c r="M618" s="523"/>
      <c r="N618" s="523"/>
      <c r="O618" s="523"/>
      <c r="P618" s="523"/>
      <c r="Q618" s="523"/>
      <c r="R618" s="523"/>
      <c r="S618" s="523"/>
      <c r="T618" s="523"/>
      <c r="U618" s="523"/>
      <c r="V618" s="523"/>
      <c r="W618" s="523"/>
      <c r="X618" s="523"/>
      <c r="Y618" s="523"/>
      <c r="Z618" s="523"/>
    </row>
    <row r="619" spans="1:26" ht="15.75" customHeight="1">
      <c r="A619" s="523"/>
      <c r="B619" s="523"/>
      <c r="C619" s="523"/>
      <c r="D619" s="523"/>
      <c r="E619" s="523"/>
      <c r="F619" s="523"/>
      <c r="G619" s="523"/>
      <c r="H619" s="524"/>
      <c r="I619" s="523"/>
      <c r="J619" s="523"/>
      <c r="K619" s="523"/>
      <c r="L619" s="523"/>
      <c r="M619" s="523"/>
      <c r="N619" s="523"/>
      <c r="O619" s="523"/>
      <c r="P619" s="523"/>
      <c r="Q619" s="523"/>
      <c r="R619" s="523"/>
      <c r="S619" s="523"/>
      <c r="T619" s="523"/>
      <c r="U619" s="523"/>
      <c r="V619" s="523"/>
      <c r="W619" s="523"/>
      <c r="X619" s="523"/>
      <c r="Y619" s="523"/>
      <c r="Z619" s="523"/>
    </row>
    <row r="620" spans="1:26" ht="15.75" customHeight="1">
      <c r="A620" s="523"/>
      <c r="B620" s="523"/>
      <c r="C620" s="523"/>
      <c r="D620" s="523"/>
      <c r="E620" s="523"/>
      <c r="F620" s="523"/>
      <c r="G620" s="523"/>
      <c r="H620" s="524"/>
      <c r="I620" s="523"/>
      <c r="J620" s="523"/>
      <c r="K620" s="523"/>
      <c r="L620" s="523"/>
      <c r="M620" s="523"/>
      <c r="N620" s="523"/>
      <c r="O620" s="523"/>
      <c r="P620" s="523"/>
      <c r="Q620" s="523"/>
      <c r="R620" s="523"/>
      <c r="S620" s="523"/>
      <c r="T620" s="523"/>
      <c r="U620" s="523"/>
      <c r="V620" s="523"/>
      <c r="W620" s="523"/>
      <c r="X620" s="523"/>
      <c r="Y620" s="523"/>
      <c r="Z620" s="523"/>
    </row>
    <row r="621" spans="1:26" ht="15.75" customHeight="1">
      <c r="A621" s="523"/>
      <c r="B621" s="523"/>
      <c r="C621" s="523"/>
      <c r="D621" s="523"/>
      <c r="E621" s="523"/>
      <c r="F621" s="523"/>
      <c r="G621" s="523"/>
      <c r="H621" s="524"/>
      <c r="I621" s="523"/>
      <c r="J621" s="523"/>
      <c r="K621" s="523"/>
      <c r="L621" s="523"/>
      <c r="M621" s="523"/>
      <c r="N621" s="523"/>
      <c r="O621" s="523"/>
      <c r="P621" s="523"/>
      <c r="Q621" s="523"/>
      <c r="R621" s="523"/>
      <c r="S621" s="523"/>
      <c r="T621" s="523"/>
      <c r="U621" s="523"/>
      <c r="V621" s="523"/>
      <c r="W621" s="523"/>
      <c r="X621" s="523"/>
      <c r="Y621" s="523"/>
      <c r="Z621" s="523"/>
    </row>
    <row r="622" spans="1:26" ht="15.75" customHeight="1">
      <c r="A622" s="523"/>
      <c r="B622" s="523"/>
      <c r="C622" s="523"/>
      <c r="D622" s="523"/>
      <c r="E622" s="523"/>
      <c r="F622" s="523"/>
      <c r="G622" s="523"/>
      <c r="H622" s="524"/>
      <c r="I622" s="523"/>
      <c r="J622" s="523"/>
      <c r="K622" s="523"/>
      <c r="L622" s="523"/>
      <c r="M622" s="523"/>
      <c r="N622" s="523"/>
      <c r="O622" s="523"/>
      <c r="P622" s="523"/>
      <c r="Q622" s="523"/>
      <c r="R622" s="523"/>
      <c r="S622" s="523"/>
      <c r="T622" s="523"/>
      <c r="U622" s="523"/>
      <c r="V622" s="523"/>
      <c r="W622" s="523"/>
      <c r="X622" s="523"/>
      <c r="Y622" s="523"/>
      <c r="Z622" s="523"/>
    </row>
    <row r="623" spans="1:26" ht="15.75" customHeight="1">
      <c r="A623" s="523"/>
      <c r="B623" s="523"/>
      <c r="C623" s="523"/>
      <c r="D623" s="523"/>
      <c r="E623" s="523"/>
      <c r="F623" s="523"/>
      <c r="G623" s="523"/>
      <c r="H623" s="524"/>
      <c r="I623" s="523"/>
      <c r="J623" s="523"/>
      <c r="K623" s="523"/>
      <c r="L623" s="523"/>
      <c r="M623" s="523"/>
      <c r="N623" s="523"/>
      <c r="O623" s="523"/>
      <c r="P623" s="523"/>
      <c r="Q623" s="523"/>
      <c r="R623" s="523"/>
      <c r="S623" s="523"/>
      <c r="T623" s="523"/>
      <c r="U623" s="523"/>
      <c r="V623" s="523"/>
      <c r="W623" s="523"/>
      <c r="X623" s="523"/>
      <c r="Y623" s="523"/>
      <c r="Z623" s="523"/>
    </row>
    <row r="624" spans="1:26" ht="15.75" customHeight="1">
      <c r="A624" s="523"/>
      <c r="B624" s="523"/>
      <c r="C624" s="523"/>
      <c r="D624" s="523"/>
      <c r="E624" s="523"/>
      <c r="F624" s="523"/>
      <c r="G624" s="523"/>
      <c r="H624" s="524"/>
      <c r="I624" s="523"/>
      <c r="J624" s="523"/>
      <c r="K624" s="523"/>
      <c r="L624" s="523"/>
      <c r="M624" s="523"/>
      <c r="N624" s="523"/>
      <c r="O624" s="523"/>
      <c r="P624" s="523"/>
      <c r="Q624" s="523"/>
      <c r="R624" s="523"/>
      <c r="S624" s="523"/>
      <c r="T624" s="523"/>
      <c r="U624" s="523"/>
      <c r="V624" s="523"/>
      <c r="W624" s="523"/>
      <c r="X624" s="523"/>
      <c r="Y624" s="523"/>
      <c r="Z624" s="523"/>
    </row>
    <row r="625" spans="1:26" ht="15.75" customHeight="1">
      <c r="A625" s="523"/>
      <c r="B625" s="523"/>
      <c r="C625" s="523"/>
      <c r="D625" s="523"/>
      <c r="E625" s="523"/>
      <c r="F625" s="523"/>
      <c r="G625" s="523"/>
      <c r="H625" s="524"/>
      <c r="I625" s="523"/>
      <c r="J625" s="523"/>
      <c r="K625" s="523"/>
      <c r="L625" s="523"/>
      <c r="M625" s="523"/>
      <c r="N625" s="523"/>
      <c r="O625" s="523"/>
      <c r="P625" s="523"/>
      <c r="Q625" s="523"/>
      <c r="R625" s="523"/>
      <c r="S625" s="523"/>
      <c r="T625" s="523"/>
      <c r="U625" s="523"/>
      <c r="V625" s="523"/>
      <c r="W625" s="523"/>
      <c r="X625" s="523"/>
      <c r="Y625" s="523"/>
      <c r="Z625" s="523"/>
    </row>
    <row r="626" spans="1:26" ht="15.75" customHeight="1">
      <c r="A626" s="523"/>
      <c r="B626" s="523"/>
      <c r="C626" s="523"/>
      <c r="D626" s="523"/>
      <c r="E626" s="523"/>
      <c r="F626" s="523"/>
      <c r="G626" s="523"/>
      <c r="H626" s="524"/>
      <c r="I626" s="523"/>
      <c r="J626" s="523"/>
      <c r="K626" s="523"/>
      <c r="L626" s="523"/>
      <c r="M626" s="523"/>
      <c r="N626" s="523"/>
      <c r="O626" s="523"/>
      <c r="P626" s="523"/>
      <c r="Q626" s="523"/>
      <c r="R626" s="523"/>
      <c r="S626" s="523"/>
      <c r="T626" s="523"/>
      <c r="U626" s="523"/>
      <c r="V626" s="523"/>
      <c r="W626" s="523"/>
      <c r="X626" s="523"/>
      <c r="Y626" s="523"/>
      <c r="Z626" s="523"/>
    </row>
    <row r="627" spans="1:26" ht="15.75" customHeight="1">
      <c r="A627" s="523"/>
      <c r="B627" s="523"/>
      <c r="C627" s="523"/>
      <c r="D627" s="523"/>
      <c r="E627" s="523"/>
      <c r="F627" s="523"/>
      <c r="G627" s="523"/>
      <c r="H627" s="524"/>
      <c r="I627" s="523"/>
      <c r="J627" s="523"/>
      <c r="K627" s="523"/>
      <c r="L627" s="523"/>
      <c r="M627" s="523"/>
      <c r="N627" s="523"/>
      <c r="O627" s="523"/>
      <c r="P627" s="523"/>
      <c r="Q627" s="523"/>
      <c r="R627" s="523"/>
      <c r="S627" s="523"/>
      <c r="T627" s="523"/>
      <c r="U627" s="523"/>
      <c r="V627" s="523"/>
      <c r="W627" s="523"/>
      <c r="X627" s="523"/>
      <c r="Y627" s="523"/>
      <c r="Z627" s="523"/>
    </row>
    <row r="628" spans="1:26" ht="15.75" customHeight="1">
      <c r="A628" s="523"/>
      <c r="B628" s="523"/>
      <c r="C628" s="523"/>
      <c r="D628" s="523"/>
      <c r="E628" s="523"/>
      <c r="F628" s="523"/>
      <c r="G628" s="523"/>
      <c r="H628" s="524"/>
      <c r="I628" s="523"/>
      <c r="J628" s="523"/>
      <c r="K628" s="523"/>
      <c r="L628" s="523"/>
      <c r="M628" s="523"/>
      <c r="N628" s="523"/>
      <c r="O628" s="523"/>
      <c r="P628" s="523"/>
      <c r="Q628" s="523"/>
      <c r="R628" s="523"/>
      <c r="S628" s="523"/>
      <c r="T628" s="523"/>
      <c r="U628" s="523"/>
      <c r="V628" s="523"/>
      <c r="W628" s="523"/>
      <c r="X628" s="523"/>
      <c r="Y628" s="523"/>
      <c r="Z628" s="523"/>
    </row>
    <row r="629" spans="1:26" ht="15.75" customHeight="1">
      <c r="A629" s="523"/>
      <c r="B629" s="523"/>
      <c r="C629" s="523"/>
      <c r="D629" s="523"/>
      <c r="E629" s="523"/>
      <c r="F629" s="523"/>
      <c r="G629" s="523"/>
      <c r="H629" s="524"/>
      <c r="I629" s="523"/>
      <c r="J629" s="523"/>
      <c r="K629" s="523"/>
      <c r="L629" s="523"/>
      <c r="M629" s="523"/>
      <c r="N629" s="523"/>
      <c r="O629" s="523"/>
      <c r="P629" s="523"/>
      <c r="Q629" s="523"/>
      <c r="R629" s="523"/>
      <c r="S629" s="523"/>
      <c r="T629" s="523"/>
      <c r="U629" s="523"/>
      <c r="V629" s="523"/>
      <c r="W629" s="523"/>
      <c r="X629" s="523"/>
      <c r="Y629" s="523"/>
      <c r="Z629" s="523"/>
    </row>
    <row r="630" spans="1:26" ht="15.75" customHeight="1">
      <c r="A630" s="523"/>
      <c r="B630" s="523"/>
      <c r="C630" s="523"/>
      <c r="D630" s="523"/>
      <c r="E630" s="523"/>
      <c r="F630" s="523"/>
      <c r="G630" s="523"/>
      <c r="H630" s="524"/>
      <c r="I630" s="523"/>
      <c r="J630" s="523"/>
      <c r="K630" s="523"/>
      <c r="L630" s="523"/>
      <c r="M630" s="523"/>
      <c r="N630" s="523"/>
      <c r="O630" s="523"/>
      <c r="P630" s="523"/>
      <c r="Q630" s="523"/>
      <c r="R630" s="523"/>
      <c r="S630" s="523"/>
      <c r="T630" s="523"/>
      <c r="U630" s="523"/>
      <c r="V630" s="523"/>
      <c r="W630" s="523"/>
      <c r="X630" s="523"/>
      <c r="Y630" s="523"/>
      <c r="Z630" s="523"/>
    </row>
    <row r="631" spans="1:26" ht="15.75" customHeight="1">
      <c r="A631" s="523"/>
      <c r="B631" s="523"/>
      <c r="C631" s="523"/>
      <c r="D631" s="523"/>
      <c r="E631" s="523"/>
      <c r="F631" s="523"/>
      <c r="G631" s="523"/>
      <c r="H631" s="524"/>
      <c r="I631" s="523"/>
      <c r="J631" s="523"/>
      <c r="K631" s="523"/>
      <c r="L631" s="523"/>
      <c r="M631" s="523"/>
      <c r="N631" s="523"/>
      <c r="O631" s="523"/>
      <c r="P631" s="523"/>
      <c r="Q631" s="523"/>
      <c r="R631" s="523"/>
      <c r="S631" s="523"/>
      <c r="T631" s="523"/>
      <c r="U631" s="523"/>
      <c r="V631" s="523"/>
      <c r="W631" s="523"/>
      <c r="X631" s="523"/>
      <c r="Y631" s="523"/>
      <c r="Z631" s="523"/>
    </row>
    <row r="632" spans="1:26" ht="15.75" customHeight="1">
      <c r="A632" s="523"/>
      <c r="B632" s="523"/>
      <c r="C632" s="523"/>
      <c r="D632" s="523"/>
      <c r="E632" s="523"/>
      <c r="F632" s="523"/>
      <c r="G632" s="523"/>
      <c r="H632" s="524"/>
      <c r="I632" s="523"/>
      <c r="J632" s="523"/>
      <c r="K632" s="523"/>
      <c r="L632" s="523"/>
      <c r="M632" s="523"/>
      <c r="N632" s="523"/>
      <c r="O632" s="523"/>
      <c r="P632" s="523"/>
      <c r="Q632" s="523"/>
      <c r="R632" s="523"/>
      <c r="S632" s="523"/>
      <c r="T632" s="523"/>
      <c r="U632" s="523"/>
      <c r="V632" s="523"/>
      <c r="W632" s="523"/>
      <c r="X632" s="523"/>
      <c r="Y632" s="523"/>
      <c r="Z632" s="523"/>
    </row>
    <row r="633" spans="1:26" ht="15.75" customHeight="1">
      <c r="A633" s="523"/>
      <c r="B633" s="523"/>
      <c r="C633" s="523"/>
      <c r="D633" s="523"/>
      <c r="E633" s="523"/>
      <c r="F633" s="523"/>
      <c r="G633" s="523"/>
      <c r="H633" s="524"/>
      <c r="I633" s="523"/>
      <c r="J633" s="523"/>
      <c r="K633" s="523"/>
      <c r="L633" s="523"/>
      <c r="M633" s="523"/>
      <c r="N633" s="523"/>
      <c r="O633" s="523"/>
      <c r="P633" s="523"/>
      <c r="Q633" s="523"/>
      <c r="R633" s="523"/>
      <c r="S633" s="523"/>
      <c r="T633" s="523"/>
      <c r="U633" s="523"/>
      <c r="V633" s="523"/>
      <c r="W633" s="523"/>
      <c r="X633" s="523"/>
      <c r="Y633" s="523"/>
      <c r="Z633" s="523"/>
    </row>
    <row r="634" spans="1:26" ht="15.75" customHeight="1">
      <c r="A634" s="523"/>
      <c r="B634" s="523"/>
      <c r="C634" s="523"/>
      <c r="D634" s="523"/>
      <c r="E634" s="523"/>
      <c r="F634" s="523"/>
      <c r="G634" s="523"/>
      <c r="H634" s="524"/>
      <c r="I634" s="523"/>
      <c r="J634" s="523"/>
      <c r="K634" s="523"/>
      <c r="L634" s="523"/>
      <c r="M634" s="523"/>
      <c r="N634" s="523"/>
      <c r="O634" s="523"/>
      <c r="P634" s="523"/>
      <c r="Q634" s="523"/>
      <c r="R634" s="523"/>
      <c r="S634" s="523"/>
      <c r="T634" s="523"/>
      <c r="U634" s="523"/>
      <c r="V634" s="523"/>
      <c r="W634" s="523"/>
      <c r="X634" s="523"/>
      <c r="Y634" s="523"/>
      <c r="Z634" s="523"/>
    </row>
    <row r="635" spans="1:26" ht="15.75" customHeight="1">
      <c r="A635" s="523"/>
      <c r="B635" s="523"/>
      <c r="C635" s="523"/>
      <c r="D635" s="523"/>
      <c r="E635" s="523"/>
      <c r="F635" s="523"/>
      <c r="G635" s="523"/>
      <c r="H635" s="524"/>
      <c r="I635" s="523"/>
      <c r="J635" s="523"/>
      <c r="K635" s="523"/>
      <c r="L635" s="523"/>
      <c r="M635" s="523"/>
      <c r="N635" s="523"/>
      <c r="O635" s="523"/>
      <c r="P635" s="523"/>
      <c r="Q635" s="523"/>
      <c r="R635" s="523"/>
      <c r="S635" s="523"/>
      <c r="T635" s="523"/>
      <c r="U635" s="523"/>
      <c r="V635" s="523"/>
      <c r="W635" s="523"/>
      <c r="X635" s="523"/>
      <c r="Y635" s="523"/>
      <c r="Z635" s="523"/>
    </row>
    <row r="636" spans="1:26" ht="15.75" customHeight="1">
      <c r="A636" s="523"/>
      <c r="B636" s="523"/>
      <c r="C636" s="523"/>
      <c r="D636" s="523"/>
      <c r="E636" s="523"/>
      <c r="F636" s="523"/>
      <c r="G636" s="523"/>
      <c r="H636" s="524"/>
      <c r="I636" s="523"/>
      <c r="J636" s="523"/>
      <c r="K636" s="523"/>
      <c r="L636" s="523"/>
      <c r="M636" s="523"/>
      <c r="N636" s="523"/>
      <c r="O636" s="523"/>
      <c r="P636" s="523"/>
      <c r="Q636" s="523"/>
      <c r="R636" s="523"/>
      <c r="S636" s="523"/>
      <c r="T636" s="523"/>
      <c r="U636" s="523"/>
      <c r="V636" s="523"/>
      <c r="W636" s="523"/>
      <c r="X636" s="523"/>
      <c r="Y636" s="523"/>
      <c r="Z636" s="523"/>
    </row>
    <row r="637" spans="1:26" ht="15.75" customHeight="1">
      <c r="A637" s="523"/>
      <c r="B637" s="523"/>
      <c r="C637" s="523"/>
      <c r="D637" s="523"/>
      <c r="E637" s="523"/>
      <c r="F637" s="523"/>
      <c r="G637" s="523"/>
      <c r="H637" s="524"/>
      <c r="I637" s="523"/>
      <c r="J637" s="523"/>
      <c r="K637" s="523"/>
      <c r="L637" s="523"/>
      <c r="M637" s="523"/>
      <c r="N637" s="523"/>
      <c r="O637" s="523"/>
      <c r="P637" s="523"/>
      <c r="Q637" s="523"/>
      <c r="R637" s="523"/>
      <c r="S637" s="523"/>
      <c r="T637" s="523"/>
      <c r="U637" s="523"/>
      <c r="V637" s="523"/>
      <c r="W637" s="523"/>
      <c r="X637" s="523"/>
      <c r="Y637" s="523"/>
      <c r="Z637" s="523"/>
    </row>
    <row r="638" spans="1:26" ht="15.75" customHeight="1">
      <c r="A638" s="523"/>
      <c r="B638" s="523"/>
      <c r="C638" s="523"/>
      <c r="D638" s="523"/>
      <c r="E638" s="523"/>
      <c r="F638" s="523"/>
      <c r="G638" s="523"/>
      <c r="H638" s="524"/>
      <c r="I638" s="523"/>
      <c r="J638" s="523"/>
      <c r="K638" s="523"/>
      <c r="L638" s="523"/>
      <c r="M638" s="523"/>
      <c r="N638" s="523"/>
      <c r="O638" s="523"/>
      <c r="P638" s="523"/>
      <c r="Q638" s="523"/>
      <c r="R638" s="523"/>
      <c r="S638" s="523"/>
      <c r="T638" s="523"/>
      <c r="U638" s="523"/>
      <c r="V638" s="523"/>
      <c r="W638" s="523"/>
      <c r="X638" s="523"/>
      <c r="Y638" s="523"/>
      <c r="Z638" s="523"/>
    </row>
    <row r="639" spans="1:26" ht="15.75" customHeight="1">
      <c r="A639" s="523"/>
      <c r="B639" s="523"/>
      <c r="C639" s="523"/>
      <c r="D639" s="523"/>
      <c r="E639" s="523"/>
      <c r="F639" s="523"/>
      <c r="G639" s="523"/>
      <c r="H639" s="524"/>
      <c r="I639" s="523"/>
      <c r="J639" s="523"/>
      <c r="K639" s="523"/>
      <c r="L639" s="523"/>
      <c r="M639" s="523"/>
      <c r="N639" s="523"/>
      <c r="O639" s="523"/>
      <c r="P639" s="523"/>
      <c r="Q639" s="523"/>
      <c r="R639" s="523"/>
      <c r="S639" s="523"/>
      <c r="T639" s="523"/>
      <c r="U639" s="523"/>
      <c r="V639" s="523"/>
      <c r="W639" s="523"/>
      <c r="X639" s="523"/>
      <c r="Y639" s="523"/>
      <c r="Z639" s="523"/>
    </row>
    <row r="640" spans="1:26" ht="15.75" customHeight="1">
      <c r="A640" s="523"/>
      <c r="B640" s="523"/>
      <c r="C640" s="523"/>
      <c r="D640" s="523"/>
      <c r="E640" s="523"/>
      <c r="F640" s="523"/>
      <c r="G640" s="523"/>
      <c r="H640" s="524"/>
      <c r="I640" s="523"/>
      <c r="J640" s="523"/>
      <c r="K640" s="523"/>
      <c r="L640" s="523"/>
      <c r="M640" s="523"/>
      <c r="N640" s="523"/>
      <c r="O640" s="523"/>
      <c r="P640" s="523"/>
      <c r="Q640" s="523"/>
      <c r="R640" s="523"/>
      <c r="S640" s="523"/>
      <c r="T640" s="523"/>
      <c r="U640" s="523"/>
      <c r="V640" s="523"/>
      <c r="W640" s="523"/>
      <c r="X640" s="523"/>
      <c r="Y640" s="523"/>
      <c r="Z640" s="523"/>
    </row>
    <row r="641" spans="1:26" ht="15.75" customHeight="1">
      <c r="A641" s="523"/>
      <c r="B641" s="523"/>
      <c r="C641" s="523"/>
      <c r="D641" s="523"/>
      <c r="E641" s="523"/>
      <c r="F641" s="523"/>
      <c r="G641" s="523"/>
      <c r="H641" s="524"/>
      <c r="I641" s="523"/>
      <c r="J641" s="523"/>
      <c r="K641" s="523"/>
      <c r="L641" s="523"/>
      <c r="M641" s="523"/>
      <c r="N641" s="523"/>
      <c r="O641" s="523"/>
      <c r="P641" s="523"/>
      <c r="Q641" s="523"/>
      <c r="R641" s="523"/>
      <c r="S641" s="523"/>
      <c r="T641" s="523"/>
      <c r="U641" s="523"/>
      <c r="V641" s="523"/>
      <c r="W641" s="523"/>
      <c r="X641" s="523"/>
      <c r="Y641" s="523"/>
      <c r="Z641" s="523"/>
    </row>
    <row r="642" spans="1:26" ht="15.75" customHeight="1">
      <c r="A642" s="523"/>
      <c r="B642" s="523"/>
      <c r="C642" s="523"/>
      <c r="D642" s="523"/>
      <c r="E642" s="523"/>
      <c r="F642" s="523"/>
      <c r="G642" s="523"/>
      <c r="H642" s="524"/>
      <c r="I642" s="523"/>
      <c r="J642" s="523"/>
      <c r="K642" s="523"/>
      <c r="L642" s="523"/>
      <c r="M642" s="523"/>
      <c r="N642" s="523"/>
      <c r="O642" s="523"/>
      <c r="P642" s="523"/>
      <c r="Q642" s="523"/>
      <c r="R642" s="523"/>
      <c r="S642" s="523"/>
      <c r="T642" s="523"/>
      <c r="U642" s="523"/>
      <c r="V642" s="523"/>
      <c r="W642" s="523"/>
      <c r="X642" s="523"/>
      <c r="Y642" s="523"/>
      <c r="Z642" s="523"/>
    </row>
    <row r="643" spans="1:26" ht="15.75" customHeight="1">
      <c r="A643" s="523"/>
      <c r="B643" s="523"/>
      <c r="C643" s="523"/>
      <c r="D643" s="523"/>
      <c r="E643" s="523"/>
      <c r="F643" s="523"/>
      <c r="G643" s="523"/>
      <c r="H643" s="524"/>
      <c r="I643" s="523"/>
      <c r="J643" s="523"/>
      <c r="K643" s="523"/>
      <c r="L643" s="523"/>
      <c r="M643" s="523"/>
      <c r="N643" s="523"/>
      <c r="O643" s="523"/>
      <c r="P643" s="523"/>
      <c r="Q643" s="523"/>
      <c r="R643" s="523"/>
      <c r="S643" s="523"/>
      <c r="T643" s="523"/>
      <c r="U643" s="523"/>
      <c r="V643" s="523"/>
      <c r="W643" s="523"/>
      <c r="X643" s="523"/>
      <c r="Y643" s="523"/>
      <c r="Z643" s="523"/>
    </row>
    <row r="644" spans="1:26" ht="15.75" customHeight="1">
      <c r="A644" s="523"/>
      <c r="B644" s="523"/>
      <c r="C644" s="523"/>
      <c r="D644" s="523"/>
      <c r="E644" s="523"/>
      <c r="F644" s="523"/>
      <c r="G644" s="523"/>
      <c r="H644" s="524"/>
      <c r="I644" s="523"/>
      <c r="J644" s="523"/>
      <c r="K644" s="523"/>
      <c r="L644" s="523"/>
      <c r="M644" s="523"/>
      <c r="N644" s="523"/>
      <c r="O644" s="523"/>
      <c r="P644" s="523"/>
      <c r="Q644" s="523"/>
      <c r="R644" s="523"/>
      <c r="S644" s="523"/>
      <c r="T644" s="523"/>
      <c r="U644" s="523"/>
      <c r="V644" s="523"/>
      <c r="W644" s="523"/>
      <c r="X644" s="523"/>
      <c r="Y644" s="523"/>
      <c r="Z644" s="523"/>
    </row>
    <row r="645" spans="1:26" ht="15.75" customHeight="1">
      <c r="A645" s="523"/>
      <c r="B645" s="523"/>
      <c r="C645" s="523"/>
      <c r="D645" s="523"/>
      <c r="E645" s="523"/>
      <c r="F645" s="523"/>
      <c r="G645" s="523"/>
      <c r="H645" s="524"/>
      <c r="I645" s="523"/>
      <c r="J645" s="523"/>
      <c r="K645" s="523"/>
      <c r="L645" s="523"/>
      <c r="M645" s="523"/>
      <c r="N645" s="523"/>
      <c r="O645" s="523"/>
      <c r="P645" s="523"/>
      <c r="Q645" s="523"/>
      <c r="R645" s="523"/>
      <c r="S645" s="523"/>
      <c r="T645" s="523"/>
      <c r="U645" s="523"/>
      <c r="V645" s="523"/>
      <c r="W645" s="523"/>
      <c r="X645" s="523"/>
      <c r="Y645" s="523"/>
      <c r="Z645" s="523"/>
    </row>
    <row r="646" spans="1:26" ht="15.75" customHeight="1">
      <c r="A646" s="523"/>
      <c r="B646" s="523"/>
      <c r="C646" s="523"/>
      <c r="D646" s="523"/>
      <c r="E646" s="523"/>
      <c r="F646" s="523"/>
      <c r="G646" s="523"/>
      <c r="H646" s="524"/>
      <c r="I646" s="523"/>
      <c r="J646" s="523"/>
      <c r="K646" s="523"/>
      <c r="L646" s="523"/>
      <c r="M646" s="523"/>
      <c r="N646" s="523"/>
      <c r="O646" s="523"/>
      <c r="P646" s="523"/>
      <c r="Q646" s="523"/>
      <c r="R646" s="523"/>
      <c r="S646" s="523"/>
      <c r="T646" s="523"/>
      <c r="U646" s="523"/>
      <c r="V646" s="523"/>
      <c r="W646" s="523"/>
      <c r="X646" s="523"/>
      <c r="Y646" s="523"/>
      <c r="Z646" s="523"/>
    </row>
    <row r="647" spans="1:26" ht="15.75" customHeight="1">
      <c r="A647" s="523"/>
      <c r="B647" s="523"/>
      <c r="C647" s="523"/>
      <c r="D647" s="523"/>
      <c r="E647" s="523"/>
      <c r="F647" s="523"/>
      <c r="G647" s="523"/>
      <c r="H647" s="524"/>
      <c r="I647" s="523"/>
      <c r="J647" s="523"/>
      <c r="K647" s="523"/>
      <c r="L647" s="523"/>
      <c r="M647" s="523"/>
      <c r="N647" s="523"/>
      <c r="O647" s="523"/>
      <c r="P647" s="523"/>
      <c r="Q647" s="523"/>
      <c r="R647" s="523"/>
      <c r="S647" s="523"/>
      <c r="T647" s="523"/>
      <c r="U647" s="523"/>
      <c r="V647" s="523"/>
      <c r="W647" s="523"/>
      <c r="X647" s="523"/>
      <c r="Y647" s="523"/>
      <c r="Z647" s="523"/>
    </row>
    <row r="648" spans="1:26" ht="15.75" customHeight="1">
      <c r="A648" s="523"/>
      <c r="B648" s="523"/>
      <c r="C648" s="523"/>
      <c r="D648" s="523"/>
      <c r="E648" s="523"/>
      <c r="F648" s="523"/>
      <c r="G648" s="523"/>
      <c r="H648" s="524"/>
      <c r="I648" s="523"/>
      <c r="J648" s="523"/>
      <c r="K648" s="523"/>
      <c r="L648" s="523"/>
      <c r="M648" s="523"/>
      <c r="N648" s="523"/>
      <c r="O648" s="523"/>
      <c r="P648" s="523"/>
      <c r="Q648" s="523"/>
      <c r="R648" s="523"/>
      <c r="S648" s="523"/>
      <c r="T648" s="523"/>
      <c r="U648" s="523"/>
      <c r="V648" s="523"/>
      <c r="W648" s="523"/>
      <c r="X648" s="523"/>
      <c r="Y648" s="523"/>
      <c r="Z648" s="523"/>
    </row>
    <row r="649" spans="1:26" ht="15.75" customHeight="1">
      <c r="A649" s="523"/>
      <c r="B649" s="523"/>
      <c r="C649" s="523"/>
      <c r="D649" s="523"/>
      <c r="E649" s="523"/>
      <c r="F649" s="523"/>
      <c r="G649" s="523"/>
      <c r="H649" s="524"/>
      <c r="I649" s="523"/>
      <c r="J649" s="523"/>
      <c r="K649" s="523"/>
      <c r="L649" s="523"/>
      <c r="M649" s="523"/>
      <c r="N649" s="523"/>
      <c r="O649" s="523"/>
      <c r="P649" s="523"/>
      <c r="Q649" s="523"/>
      <c r="R649" s="523"/>
      <c r="S649" s="523"/>
      <c r="T649" s="523"/>
      <c r="U649" s="523"/>
      <c r="V649" s="523"/>
      <c r="W649" s="523"/>
      <c r="X649" s="523"/>
      <c r="Y649" s="523"/>
      <c r="Z649" s="523"/>
    </row>
    <row r="650" spans="1:26" ht="15.75" customHeight="1">
      <c r="A650" s="523"/>
      <c r="B650" s="523"/>
      <c r="C650" s="523"/>
      <c r="D650" s="523"/>
      <c r="E650" s="523"/>
      <c r="F650" s="523"/>
      <c r="G650" s="523"/>
      <c r="H650" s="524"/>
      <c r="I650" s="523"/>
      <c r="J650" s="523"/>
      <c r="K650" s="523"/>
      <c r="L650" s="523"/>
      <c r="M650" s="523"/>
      <c r="N650" s="523"/>
      <c r="O650" s="523"/>
      <c r="P650" s="523"/>
      <c r="Q650" s="523"/>
      <c r="R650" s="523"/>
      <c r="S650" s="523"/>
      <c r="T650" s="523"/>
      <c r="U650" s="523"/>
      <c r="V650" s="523"/>
      <c r="W650" s="523"/>
      <c r="X650" s="523"/>
      <c r="Y650" s="523"/>
      <c r="Z650" s="523"/>
    </row>
    <row r="651" spans="1:26" ht="15.75" customHeight="1">
      <c r="A651" s="523"/>
      <c r="B651" s="523"/>
      <c r="C651" s="523"/>
      <c r="D651" s="523"/>
      <c r="E651" s="523"/>
      <c r="F651" s="523"/>
      <c r="G651" s="523"/>
      <c r="H651" s="524"/>
      <c r="I651" s="523"/>
      <c r="J651" s="523"/>
      <c r="K651" s="523"/>
      <c r="L651" s="523"/>
      <c r="M651" s="523"/>
      <c r="N651" s="523"/>
      <c r="O651" s="523"/>
      <c r="P651" s="523"/>
      <c r="Q651" s="523"/>
      <c r="R651" s="523"/>
      <c r="S651" s="523"/>
      <c r="T651" s="523"/>
      <c r="U651" s="523"/>
      <c r="V651" s="523"/>
      <c r="W651" s="523"/>
      <c r="X651" s="523"/>
      <c r="Y651" s="523"/>
      <c r="Z651" s="523"/>
    </row>
    <row r="652" spans="1:26" ht="15.75" customHeight="1">
      <c r="A652" s="523"/>
      <c r="B652" s="523"/>
      <c r="C652" s="523"/>
      <c r="D652" s="523"/>
      <c r="E652" s="523"/>
      <c r="F652" s="523"/>
      <c r="G652" s="523"/>
      <c r="H652" s="524"/>
      <c r="I652" s="523"/>
      <c r="J652" s="523"/>
      <c r="K652" s="523"/>
      <c r="L652" s="523"/>
      <c r="M652" s="523"/>
      <c r="N652" s="523"/>
      <c r="O652" s="523"/>
      <c r="P652" s="523"/>
      <c r="Q652" s="523"/>
      <c r="R652" s="523"/>
      <c r="S652" s="523"/>
      <c r="T652" s="523"/>
      <c r="U652" s="523"/>
      <c r="V652" s="523"/>
      <c r="W652" s="523"/>
      <c r="X652" s="523"/>
      <c r="Y652" s="523"/>
      <c r="Z652" s="523"/>
    </row>
    <row r="653" spans="1:26" ht="15.75" customHeight="1">
      <c r="A653" s="523"/>
      <c r="B653" s="523"/>
      <c r="C653" s="523"/>
      <c r="D653" s="523"/>
      <c r="E653" s="523"/>
      <c r="F653" s="523"/>
      <c r="G653" s="523"/>
      <c r="H653" s="524"/>
      <c r="I653" s="523"/>
      <c r="J653" s="523"/>
      <c r="K653" s="523"/>
      <c r="L653" s="523"/>
      <c r="M653" s="523"/>
      <c r="N653" s="523"/>
      <c r="O653" s="523"/>
      <c r="P653" s="523"/>
      <c r="Q653" s="523"/>
      <c r="R653" s="523"/>
      <c r="S653" s="523"/>
      <c r="T653" s="523"/>
      <c r="U653" s="523"/>
      <c r="V653" s="523"/>
      <c r="W653" s="523"/>
      <c r="X653" s="523"/>
      <c r="Y653" s="523"/>
      <c r="Z653" s="523"/>
    </row>
    <row r="654" spans="1:26" ht="15.75" customHeight="1">
      <c r="A654" s="523"/>
      <c r="B654" s="523"/>
      <c r="C654" s="523"/>
      <c r="D654" s="523"/>
      <c r="E654" s="523"/>
      <c r="F654" s="523"/>
      <c r="G654" s="523"/>
      <c r="H654" s="524"/>
      <c r="I654" s="523"/>
      <c r="J654" s="523"/>
      <c r="K654" s="523"/>
      <c r="L654" s="523"/>
      <c r="M654" s="523"/>
      <c r="N654" s="523"/>
      <c r="O654" s="523"/>
      <c r="P654" s="523"/>
      <c r="Q654" s="523"/>
      <c r="R654" s="523"/>
      <c r="S654" s="523"/>
      <c r="T654" s="523"/>
      <c r="U654" s="523"/>
      <c r="V654" s="523"/>
      <c r="W654" s="523"/>
      <c r="X654" s="523"/>
      <c r="Y654" s="523"/>
      <c r="Z654" s="523"/>
    </row>
    <row r="655" spans="1:26" ht="15.75" customHeight="1">
      <c r="A655" s="523"/>
      <c r="B655" s="523"/>
      <c r="C655" s="523"/>
      <c r="D655" s="523"/>
      <c r="E655" s="523"/>
      <c r="F655" s="523"/>
      <c r="G655" s="523"/>
      <c r="H655" s="524"/>
      <c r="I655" s="523"/>
      <c r="J655" s="523"/>
      <c r="K655" s="523"/>
      <c r="L655" s="523"/>
      <c r="M655" s="523"/>
      <c r="N655" s="523"/>
      <c r="O655" s="523"/>
      <c r="P655" s="523"/>
      <c r="Q655" s="523"/>
      <c r="R655" s="523"/>
      <c r="S655" s="523"/>
      <c r="T655" s="523"/>
      <c r="U655" s="523"/>
      <c r="V655" s="523"/>
      <c r="W655" s="523"/>
      <c r="X655" s="523"/>
      <c r="Y655" s="523"/>
      <c r="Z655" s="523"/>
    </row>
    <row r="656" spans="1:26" ht="15.75" customHeight="1">
      <c r="A656" s="523"/>
      <c r="B656" s="523"/>
      <c r="C656" s="523"/>
      <c r="D656" s="523"/>
      <c r="E656" s="523"/>
      <c r="F656" s="523"/>
      <c r="G656" s="523"/>
      <c r="H656" s="524"/>
      <c r="I656" s="523"/>
      <c r="J656" s="523"/>
      <c r="K656" s="523"/>
      <c r="L656" s="523"/>
      <c r="M656" s="523"/>
      <c r="N656" s="523"/>
      <c r="O656" s="523"/>
      <c r="P656" s="523"/>
      <c r="Q656" s="523"/>
      <c r="R656" s="523"/>
      <c r="S656" s="523"/>
      <c r="T656" s="523"/>
      <c r="U656" s="523"/>
      <c r="V656" s="523"/>
      <c r="W656" s="523"/>
      <c r="X656" s="523"/>
      <c r="Y656" s="523"/>
      <c r="Z656" s="523"/>
    </row>
    <row r="657" spans="1:26" ht="15.75" customHeight="1">
      <c r="A657" s="523"/>
      <c r="B657" s="523"/>
      <c r="C657" s="523"/>
      <c r="D657" s="523"/>
      <c r="E657" s="523"/>
      <c r="F657" s="523"/>
      <c r="G657" s="523"/>
      <c r="H657" s="524"/>
      <c r="I657" s="523"/>
      <c r="J657" s="523"/>
      <c r="K657" s="523"/>
      <c r="L657" s="523"/>
      <c r="M657" s="523"/>
      <c r="N657" s="523"/>
      <c r="O657" s="523"/>
      <c r="P657" s="523"/>
      <c r="Q657" s="523"/>
      <c r="R657" s="523"/>
      <c r="S657" s="523"/>
      <c r="T657" s="523"/>
      <c r="U657" s="523"/>
      <c r="V657" s="523"/>
      <c r="W657" s="523"/>
      <c r="X657" s="523"/>
      <c r="Y657" s="523"/>
      <c r="Z657" s="523"/>
    </row>
    <row r="658" spans="1:26" ht="15.75" customHeight="1">
      <c r="A658" s="523"/>
      <c r="B658" s="523"/>
      <c r="C658" s="523"/>
      <c r="D658" s="523"/>
      <c r="E658" s="523"/>
      <c r="F658" s="523"/>
      <c r="G658" s="523"/>
      <c r="H658" s="524"/>
      <c r="I658" s="523"/>
      <c r="J658" s="523"/>
      <c r="K658" s="523"/>
      <c r="L658" s="523"/>
      <c r="M658" s="523"/>
      <c r="N658" s="523"/>
      <c r="O658" s="523"/>
      <c r="P658" s="523"/>
      <c r="Q658" s="523"/>
      <c r="R658" s="523"/>
      <c r="S658" s="523"/>
      <c r="T658" s="523"/>
      <c r="U658" s="523"/>
      <c r="V658" s="523"/>
      <c r="W658" s="523"/>
      <c r="X658" s="523"/>
      <c r="Y658" s="523"/>
      <c r="Z658" s="523"/>
    </row>
    <row r="659" spans="1:26" ht="15.75" customHeight="1">
      <c r="A659" s="523"/>
      <c r="B659" s="523"/>
      <c r="C659" s="523"/>
      <c r="D659" s="523"/>
      <c r="E659" s="523"/>
      <c r="F659" s="523"/>
      <c r="G659" s="523"/>
      <c r="H659" s="524"/>
      <c r="I659" s="523"/>
      <c r="J659" s="523"/>
      <c r="K659" s="523"/>
      <c r="L659" s="523"/>
      <c r="M659" s="523"/>
      <c r="N659" s="523"/>
      <c r="O659" s="523"/>
      <c r="P659" s="523"/>
      <c r="Q659" s="523"/>
      <c r="R659" s="523"/>
      <c r="S659" s="523"/>
      <c r="T659" s="523"/>
      <c r="U659" s="523"/>
      <c r="V659" s="523"/>
      <c r="W659" s="523"/>
      <c r="X659" s="523"/>
      <c r="Y659" s="523"/>
      <c r="Z659" s="523"/>
    </row>
    <row r="660" spans="1:26" ht="15.75" customHeight="1">
      <c r="A660" s="523"/>
      <c r="B660" s="523"/>
      <c r="C660" s="523"/>
      <c r="D660" s="523"/>
      <c r="E660" s="523"/>
      <c r="F660" s="523"/>
      <c r="G660" s="523"/>
      <c r="H660" s="524"/>
      <c r="I660" s="523"/>
      <c r="J660" s="523"/>
      <c r="K660" s="523"/>
      <c r="L660" s="523"/>
      <c r="M660" s="523"/>
      <c r="N660" s="523"/>
      <c r="O660" s="523"/>
      <c r="P660" s="523"/>
      <c r="Q660" s="523"/>
      <c r="R660" s="523"/>
      <c r="S660" s="523"/>
      <c r="T660" s="523"/>
      <c r="U660" s="523"/>
      <c r="V660" s="523"/>
      <c r="W660" s="523"/>
      <c r="X660" s="523"/>
      <c r="Y660" s="523"/>
      <c r="Z660" s="523"/>
    </row>
    <row r="661" spans="1:26" ht="15.75" customHeight="1">
      <c r="A661" s="523"/>
      <c r="B661" s="523"/>
      <c r="C661" s="523"/>
      <c r="D661" s="523"/>
      <c r="E661" s="523"/>
      <c r="F661" s="523"/>
      <c r="G661" s="523"/>
      <c r="H661" s="524"/>
      <c r="I661" s="523"/>
      <c r="J661" s="523"/>
      <c r="K661" s="523"/>
      <c r="L661" s="523"/>
      <c r="M661" s="523"/>
      <c r="N661" s="523"/>
      <c r="O661" s="523"/>
      <c r="P661" s="523"/>
      <c r="Q661" s="523"/>
      <c r="R661" s="523"/>
      <c r="S661" s="523"/>
      <c r="T661" s="523"/>
      <c r="U661" s="523"/>
      <c r="V661" s="523"/>
      <c r="W661" s="523"/>
      <c r="X661" s="523"/>
      <c r="Y661" s="523"/>
      <c r="Z661" s="523"/>
    </row>
    <row r="662" spans="1:26" ht="15.75" customHeight="1">
      <c r="A662" s="523"/>
      <c r="B662" s="523"/>
      <c r="C662" s="523"/>
      <c r="D662" s="523"/>
      <c r="E662" s="523"/>
      <c r="F662" s="523"/>
      <c r="G662" s="523"/>
      <c r="H662" s="524"/>
      <c r="I662" s="523"/>
      <c r="J662" s="523"/>
      <c r="K662" s="523"/>
      <c r="L662" s="523"/>
      <c r="M662" s="523"/>
      <c r="N662" s="523"/>
      <c r="O662" s="523"/>
      <c r="P662" s="523"/>
      <c r="Q662" s="523"/>
      <c r="R662" s="523"/>
      <c r="S662" s="523"/>
      <c r="T662" s="523"/>
      <c r="U662" s="523"/>
      <c r="V662" s="523"/>
      <c r="W662" s="523"/>
      <c r="X662" s="523"/>
      <c r="Y662" s="523"/>
      <c r="Z662" s="523"/>
    </row>
    <row r="663" spans="1:26" ht="15.75" customHeight="1">
      <c r="A663" s="523"/>
      <c r="B663" s="523"/>
      <c r="C663" s="523"/>
      <c r="D663" s="523"/>
      <c r="E663" s="523"/>
      <c r="F663" s="523"/>
      <c r="G663" s="523"/>
      <c r="H663" s="524"/>
      <c r="I663" s="523"/>
      <c r="J663" s="523"/>
      <c r="K663" s="523"/>
      <c r="L663" s="523"/>
      <c r="M663" s="523"/>
      <c r="N663" s="523"/>
      <c r="O663" s="523"/>
      <c r="P663" s="523"/>
      <c r="Q663" s="523"/>
      <c r="R663" s="523"/>
      <c r="S663" s="523"/>
      <c r="T663" s="523"/>
      <c r="U663" s="523"/>
      <c r="V663" s="523"/>
      <c r="W663" s="523"/>
      <c r="X663" s="523"/>
      <c r="Y663" s="523"/>
      <c r="Z663" s="523"/>
    </row>
    <row r="664" spans="1:26" ht="15.75" customHeight="1">
      <c r="A664" s="523"/>
      <c r="B664" s="523"/>
      <c r="C664" s="523"/>
      <c r="D664" s="523"/>
      <c r="E664" s="523"/>
      <c r="F664" s="523"/>
      <c r="G664" s="523"/>
      <c r="H664" s="524"/>
      <c r="I664" s="523"/>
      <c r="J664" s="523"/>
      <c r="K664" s="523"/>
      <c r="L664" s="523"/>
      <c r="M664" s="523"/>
      <c r="N664" s="523"/>
      <c r="O664" s="523"/>
      <c r="P664" s="523"/>
      <c r="Q664" s="523"/>
      <c r="R664" s="523"/>
      <c r="S664" s="523"/>
      <c r="T664" s="523"/>
      <c r="U664" s="523"/>
      <c r="V664" s="523"/>
      <c r="W664" s="523"/>
      <c r="X664" s="523"/>
      <c r="Y664" s="523"/>
      <c r="Z664" s="523"/>
    </row>
    <row r="665" spans="1:26" ht="15.75" customHeight="1">
      <c r="A665" s="523"/>
      <c r="B665" s="523"/>
      <c r="C665" s="523"/>
      <c r="D665" s="523"/>
      <c r="E665" s="523"/>
      <c r="F665" s="523"/>
      <c r="G665" s="523"/>
      <c r="H665" s="524"/>
      <c r="I665" s="523"/>
      <c r="J665" s="523"/>
      <c r="K665" s="523"/>
      <c r="L665" s="523"/>
      <c r="M665" s="523"/>
      <c r="N665" s="523"/>
      <c r="O665" s="523"/>
      <c r="P665" s="523"/>
      <c r="Q665" s="523"/>
      <c r="R665" s="523"/>
      <c r="S665" s="523"/>
      <c r="T665" s="523"/>
      <c r="U665" s="523"/>
      <c r="V665" s="523"/>
      <c r="W665" s="523"/>
      <c r="X665" s="523"/>
      <c r="Y665" s="523"/>
      <c r="Z665" s="523"/>
    </row>
    <row r="666" spans="1:26" ht="15.75" customHeight="1">
      <c r="A666" s="523"/>
      <c r="B666" s="523"/>
      <c r="C666" s="523"/>
      <c r="D666" s="523"/>
      <c r="E666" s="523"/>
      <c r="F666" s="523"/>
      <c r="G666" s="523"/>
      <c r="H666" s="524"/>
      <c r="I666" s="523"/>
      <c r="J666" s="523"/>
      <c r="K666" s="523"/>
      <c r="L666" s="523"/>
      <c r="M666" s="523"/>
      <c r="N666" s="523"/>
      <c r="O666" s="523"/>
      <c r="P666" s="523"/>
      <c r="Q666" s="523"/>
      <c r="R666" s="523"/>
      <c r="S666" s="523"/>
      <c r="T666" s="523"/>
      <c r="U666" s="523"/>
      <c r="V666" s="523"/>
      <c r="W666" s="523"/>
      <c r="X666" s="523"/>
      <c r="Y666" s="523"/>
      <c r="Z666" s="523"/>
    </row>
    <row r="667" spans="1:26" ht="15.75" customHeight="1">
      <c r="A667" s="523"/>
      <c r="B667" s="523"/>
      <c r="C667" s="523"/>
      <c r="D667" s="523"/>
      <c r="E667" s="523"/>
      <c r="F667" s="523"/>
      <c r="G667" s="523"/>
      <c r="H667" s="524"/>
      <c r="I667" s="523"/>
      <c r="J667" s="523"/>
      <c r="K667" s="523"/>
      <c r="L667" s="523"/>
      <c r="M667" s="523"/>
      <c r="N667" s="523"/>
      <c r="O667" s="523"/>
      <c r="P667" s="523"/>
      <c r="Q667" s="523"/>
      <c r="R667" s="523"/>
      <c r="S667" s="523"/>
      <c r="T667" s="523"/>
      <c r="U667" s="523"/>
      <c r="V667" s="523"/>
      <c r="W667" s="523"/>
      <c r="X667" s="523"/>
      <c r="Y667" s="523"/>
      <c r="Z667" s="523"/>
    </row>
    <row r="668" spans="1:26" ht="15.75" customHeight="1">
      <c r="A668" s="523"/>
      <c r="B668" s="523"/>
      <c r="C668" s="523"/>
      <c r="D668" s="523"/>
      <c r="E668" s="523"/>
      <c r="F668" s="523"/>
      <c r="G668" s="523"/>
      <c r="H668" s="524"/>
      <c r="I668" s="523"/>
      <c r="J668" s="523"/>
      <c r="K668" s="523"/>
      <c r="L668" s="523"/>
      <c r="M668" s="523"/>
      <c r="N668" s="523"/>
      <c r="O668" s="523"/>
      <c r="P668" s="523"/>
      <c r="Q668" s="523"/>
      <c r="R668" s="523"/>
      <c r="S668" s="523"/>
      <c r="T668" s="523"/>
      <c r="U668" s="523"/>
      <c r="V668" s="523"/>
      <c r="W668" s="523"/>
      <c r="X668" s="523"/>
      <c r="Y668" s="523"/>
      <c r="Z668" s="523"/>
    </row>
    <row r="669" spans="1:26" ht="15.75" customHeight="1">
      <c r="A669" s="523"/>
      <c r="B669" s="523"/>
      <c r="C669" s="523"/>
      <c r="D669" s="523"/>
      <c r="E669" s="523"/>
      <c r="F669" s="523"/>
      <c r="G669" s="523"/>
      <c r="H669" s="524"/>
      <c r="I669" s="523"/>
      <c r="J669" s="523"/>
      <c r="K669" s="523"/>
      <c r="L669" s="523"/>
      <c r="M669" s="523"/>
      <c r="N669" s="523"/>
      <c r="O669" s="523"/>
      <c r="P669" s="523"/>
      <c r="Q669" s="523"/>
      <c r="R669" s="523"/>
      <c r="S669" s="523"/>
      <c r="T669" s="523"/>
      <c r="U669" s="523"/>
      <c r="V669" s="523"/>
      <c r="W669" s="523"/>
      <c r="X669" s="523"/>
      <c r="Y669" s="523"/>
      <c r="Z669" s="523"/>
    </row>
    <row r="670" spans="1:26" ht="15.75" customHeight="1">
      <c r="A670" s="523"/>
      <c r="B670" s="523"/>
      <c r="C670" s="523"/>
      <c r="D670" s="523"/>
      <c r="E670" s="523"/>
      <c r="F670" s="523"/>
      <c r="G670" s="523"/>
      <c r="H670" s="524"/>
      <c r="I670" s="523"/>
      <c r="J670" s="523"/>
      <c r="K670" s="523"/>
      <c r="L670" s="523"/>
      <c r="M670" s="523"/>
      <c r="N670" s="523"/>
      <c r="O670" s="523"/>
      <c r="P670" s="523"/>
      <c r="Q670" s="523"/>
      <c r="R670" s="523"/>
      <c r="S670" s="523"/>
      <c r="T670" s="523"/>
      <c r="U670" s="523"/>
      <c r="V670" s="523"/>
      <c r="W670" s="523"/>
      <c r="X670" s="523"/>
      <c r="Y670" s="523"/>
      <c r="Z670" s="523"/>
    </row>
    <row r="671" spans="1:26" ht="15.75" customHeight="1">
      <c r="A671" s="523"/>
      <c r="B671" s="523"/>
      <c r="C671" s="523"/>
      <c r="D671" s="523"/>
      <c r="E671" s="523"/>
      <c r="F671" s="523"/>
      <c r="G671" s="523"/>
      <c r="H671" s="524"/>
      <c r="I671" s="523"/>
      <c r="J671" s="523"/>
      <c r="K671" s="523"/>
      <c r="L671" s="523"/>
      <c r="M671" s="523"/>
      <c r="N671" s="523"/>
      <c r="O671" s="523"/>
      <c r="P671" s="523"/>
      <c r="Q671" s="523"/>
      <c r="R671" s="523"/>
      <c r="S671" s="523"/>
      <c r="T671" s="523"/>
      <c r="U671" s="523"/>
      <c r="V671" s="523"/>
      <c r="W671" s="523"/>
      <c r="X671" s="523"/>
      <c r="Y671" s="523"/>
      <c r="Z671" s="523"/>
    </row>
    <row r="672" spans="1:26" ht="15.75" customHeight="1">
      <c r="A672" s="523"/>
      <c r="B672" s="523"/>
      <c r="C672" s="523"/>
      <c r="D672" s="523"/>
      <c r="E672" s="523"/>
      <c r="F672" s="523"/>
      <c r="G672" s="523"/>
      <c r="H672" s="524"/>
      <c r="I672" s="523"/>
      <c r="J672" s="523"/>
      <c r="K672" s="523"/>
      <c r="L672" s="523"/>
      <c r="M672" s="523"/>
      <c r="N672" s="523"/>
      <c r="O672" s="523"/>
      <c r="P672" s="523"/>
      <c r="Q672" s="523"/>
      <c r="R672" s="523"/>
      <c r="S672" s="523"/>
      <c r="T672" s="523"/>
      <c r="U672" s="523"/>
      <c r="V672" s="523"/>
      <c r="W672" s="523"/>
      <c r="X672" s="523"/>
      <c r="Y672" s="523"/>
      <c r="Z672" s="523"/>
    </row>
    <row r="673" spans="1:26" ht="15.75" customHeight="1">
      <c r="A673" s="523"/>
      <c r="B673" s="523"/>
      <c r="C673" s="523"/>
      <c r="D673" s="523"/>
      <c r="E673" s="523"/>
      <c r="F673" s="523"/>
      <c r="G673" s="523"/>
      <c r="H673" s="524"/>
      <c r="I673" s="523"/>
      <c r="J673" s="523"/>
      <c r="K673" s="523"/>
      <c r="L673" s="523"/>
      <c r="M673" s="523"/>
      <c r="N673" s="523"/>
      <c r="O673" s="523"/>
      <c r="P673" s="523"/>
      <c r="Q673" s="523"/>
      <c r="R673" s="523"/>
      <c r="S673" s="523"/>
      <c r="T673" s="523"/>
      <c r="U673" s="523"/>
      <c r="V673" s="523"/>
      <c r="W673" s="523"/>
      <c r="X673" s="523"/>
      <c r="Y673" s="523"/>
      <c r="Z673" s="523"/>
    </row>
    <row r="674" spans="1:26" ht="15.75" customHeight="1">
      <c r="A674" s="523"/>
      <c r="B674" s="523"/>
      <c r="C674" s="523"/>
      <c r="D674" s="523"/>
      <c r="E674" s="523"/>
      <c r="F674" s="523"/>
      <c r="G674" s="523"/>
      <c r="H674" s="524"/>
      <c r="I674" s="523"/>
      <c r="J674" s="523"/>
      <c r="K674" s="523"/>
      <c r="L674" s="523"/>
      <c r="M674" s="523"/>
      <c r="N674" s="523"/>
      <c r="O674" s="523"/>
      <c r="P674" s="523"/>
      <c r="Q674" s="523"/>
      <c r="R674" s="523"/>
      <c r="S674" s="523"/>
      <c r="T674" s="523"/>
      <c r="U674" s="523"/>
      <c r="V674" s="523"/>
      <c r="W674" s="523"/>
      <c r="X674" s="523"/>
      <c r="Y674" s="523"/>
      <c r="Z674" s="523"/>
    </row>
    <row r="675" spans="1:26" ht="15.75" customHeight="1">
      <c r="A675" s="523"/>
      <c r="B675" s="523"/>
      <c r="C675" s="523"/>
      <c r="D675" s="523"/>
      <c r="E675" s="523"/>
      <c r="F675" s="523"/>
      <c r="G675" s="523"/>
      <c r="H675" s="524"/>
      <c r="I675" s="523"/>
      <c r="J675" s="523"/>
      <c r="K675" s="523"/>
      <c r="L675" s="523"/>
      <c r="M675" s="523"/>
      <c r="N675" s="523"/>
      <c r="O675" s="523"/>
      <c r="P675" s="523"/>
      <c r="Q675" s="523"/>
      <c r="R675" s="523"/>
      <c r="S675" s="523"/>
      <c r="T675" s="523"/>
      <c r="U675" s="523"/>
      <c r="V675" s="523"/>
      <c r="W675" s="523"/>
      <c r="X675" s="523"/>
      <c r="Y675" s="523"/>
      <c r="Z675" s="523"/>
    </row>
    <row r="676" spans="1:26" ht="15.75" customHeight="1">
      <c r="A676" s="523"/>
      <c r="B676" s="523"/>
      <c r="C676" s="523"/>
      <c r="D676" s="523"/>
      <c r="E676" s="523"/>
      <c r="F676" s="523"/>
      <c r="G676" s="523"/>
      <c r="H676" s="524"/>
      <c r="I676" s="523"/>
      <c r="J676" s="523"/>
      <c r="K676" s="523"/>
      <c r="L676" s="523"/>
      <c r="M676" s="523"/>
      <c r="N676" s="523"/>
      <c r="O676" s="523"/>
      <c r="P676" s="523"/>
      <c r="Q676" s="523"/>
      <c r="R676" s="523"/>
      <c r="S676" s="523"/>
      <c r="T676" s="523"/>
      <c r="U676" s="523"/>
      <c r="V676" s="523"/>
      <c r="W676" s="523"/>
      <c r="X676" s="523"/>
      <c r="Y676" s="523"/>
      <c r="Z676" s="523"/>
    </row>
    <row r="677" spans="1:26" ht="15.75" customHeight="1">
      <c r="A677" s="523"/>
      <c r="B677" s="523"/>
      <c r="C677" s="523"/>
      <c r="D677" s="523"/>
      <c r="E677" s="523"/>
      <c r="F677" s="523"/>
      <c r="G677" s="523"/>
      <c r="H677" s="524"/>
      <c r="I677" s="523"/>
      <c r="J677" s="523"/>
      <c r="K677" s="523"/>
      <c r="L677" s="523"/>
      <c r="M677" s="523"/>
      <c r="N677" s="523"/>
      <c r="O677" s="523"/>
      <c r="P677" s="523"/>
      <c r="Q677" s="523"/>
      <c r="R677" s="523"/>
      <c r="S677" s="523"/>
      <c r="T677" s="523"/>
      <c r="U677" s="523"/>
      <c r="V677" s="523"/>
      <c r="W677" s="523"/>
      <c r="X677" s="523"/>
      <c r="Y677" s="523"/>
      <c r="Z677" s="523"/>
    </row>
    <row r="678" spans="1:26" ht="15.75" customHeight="1">
      <c r="A678" s="523"/>
      <c r="B678" s="523"/>
      <c r="C678" s="523"/>
      <c r="D678" s="523"/>
      <c r="E678" s="523"/>
      <c r="F678" s="523"/>
      <c r="G678" s="523"/>
      <c r="H678" s="524"/>
      <c r="I678" s="523"/>
      <c r="J678" s="523"/>
      <c r="K678" s="523"/>
      <c r="L678" s="523"/>
      <c r="M678" s="523"/>
      <c r="N678" s="523"/>
      <c r="O678" s="523"/>
      <c r="P678" s="523"/>
      <c r="Q678" s="523"/>
      <c r="R678" s="523"/>
      <c r="S678" s="523"/>
      <c r="T678" s="523"/>
      <c r="U678" s="523"/>
      <c r="V678" s="523"/>
      <c r="W678" s="523"/>
      <c r="X678" s="523"/>
      <c r="Y678" s="523"/>
      <c r="Z678" s="523"/>
    </row>
    <row r="679" spans="1:26" ht="15.75" customHeight="1">
      <c r="A679" s="523"/>
      <c r="B679" s="523"/>
      <c r="C679" s="523"/>
      <c r="D679" s="523"/>
      <c r="E679" s="523"/>
      <c r="F679" s="523"/>
      <c r="G679" s="523"/>
      <c r="H679" s="524"/>
      <c r="I679" s="523"/>
      <c r="J679" s="523"/>
      <c r="K679" s="523"/>
      <c r="L679" s="523"/>
      <c r="M679" s="523"/>
      <c r="N679" s="523"/>
      <c r="O679" s="523"/>
      <c r="P679" s="523"/>
      <c r="Q679" s="523"/>
      <c r="R679" s="523"/>
      <c r="S679" s="523"/>
      <c r="T679" s="523"/>
      <c r="U679" s="523"/>
      <c r="V679" s="523"/>
      <c r="W679" s="523"/>
      <c r="X679" s="523"/>
      <c r="Y679" s="523"/>
      <c r="Z679" s="523"/>
    </row>
    <row r="680" spans="1:26" ht="15.75" customHeight="1">
      <c r="A680" s="523"/>
      <c r="B680" s="523"/>
      <c r="C680" s="523"/>
      <c r="D680" s="523"/>
      <c r="E680" s="523"/>
      <c r="F680" s="523"/>
      <c r="G680" s="523"/>
      <c r="H680" s="524"/>
      <c r="I680" s="523"/>
      <c r="J680" s="523"/>
      <c r="K680" s="523"/>
      <c r="L680" s="523"/>
      <c r="M680" s="523"/>
      <c r="N680" s="523"/>
      <c r="O680" s="523"/>
      <c r="P680" s="523"/>
      <c r="Q680" s="523"/>
      <c r="R680" s="523"/>
      <c r="S680" s="523"/>
      <c r="T680" s="523"/>
      <c r="U680" s="523"/>
      <c r="V680" s="523"/>
      <c r="W680" s="523"/>
      <c r="X680" s="523"/>
      <c r="Y680" s="523"/>
      <c r="Z680" s="523"/>
    </row>
    <row r="681" spans="1:26" ht="15.75" customHeight="1">
      <c r="A681" s="523"/>
      <c r="B681" s="523"/>
      <c r="C681" s="523"/>
      <c r="D681" s="523"/>
      <c r="E681" s="523"/>
      <c r="F681" s="523"/>
      <c r="G681" s="523"/>
      <c r="H681" s="524"/>
      <c r="I681" s="523"/>
      <c r="J681" s="523"/>
      <c r="K681" s="523"/>
      <c r="L681" s="523"/>
      <c r="M681" s="523"/>
      <c r="N681" s="523"/>
      <c r="O681" s="523"/>
      <c r="P681" s="523"/>
      <c r="Q681" s="523"/>
      <c r="R681" s="523"/>
      <c r="S681" s="523"/>
      <c r="T681" s="523"/>
      <c r="U681" s="523"/>
      <c r="V681" s="523"/>
      <c r="W681" s="523"/>
      <c r="X681" s="523"/>
      <c r="Y681" s="523"/>
      <c r="Z681" s="523"/>
    </row>
    <row r="682" spans="1:26" ht="15.75" customHeight="1">
      <c r="A682" s="523"/>
      <c r="B682" s="523"/>
      <c r="C682" s="523"/>
      <c r="D682" s="523"/>
      <c r="E682" s="523"/>
      <c r="F682" s="523"/>
      <c r="G682" s="523"/>
      <c r="H682" s="524"/>
      <c r="I682" s="523"/>
      <c r="J682" s="523"/>
      <c r="K682" s="523"/>
      <c r="L682" s="523"/>
      <c r="M682" s="523"/>
      <c r="N682" s="523"/>
      <c r="O682" s="523"/>
      <c r="P682" s="523"/>
      <c r="Q682" s="523"/>
      <c r="R682" s="523"/>
      <c r="S682" s="523"/>
      <c r="T682" s="523"/>
      <c r="U682" s="523"/>
      <c r="V682" s="523"/>
      <c r="W682" s="523"/>
      <c r="X682" s="523"/>
      <c r="Y682" s="523"/>
      <c r="Z682" s="523"/>
    </row>
    <row r="683" spans="1:26" ht="15.75" customHeight="1">
      <c r="A683" s="523"/>
      <c r="B683" s="523"/>
      <c r="C683" s="523"/>
      <c r="D683" s="523"/>
      <c r="E683" s="523"/>
      <c r="F683" s="523"/>
      <c r="G683" s="523"/>
      <c r="H683" s="524"/>
      <c r="I683" s="523"/>
      <c r="J683" s="523"/>
      <c r="K683" s="523"/>
      <c r="L683" s="523"/>
      <c r="M683" s="523"/>
      <c r="N683" s="523"/>
      <c r="O683" s="523"/>
      <c r="P683" s="523"/>
      <c r="Q683" s="523"/>
      <c r="R683" s="523"/>
      <c r="S683" s="523"/>
      <c r="T683" s="523"/>
      <c r="U683" s="523"/>
      <c r="V683" s="523"/>
      <c r="W683" s="523"/>
      <c r="X683" s="523"/>
      <c r="Y683" s="523"/>
      <c r="Z683" s="523"/>
    </row>
    <row r="684" spans="1:26" ht="15.75" customHeight="1">
      <c r="A684" s="523"/>
      <c r="B684" s="523"/>
      <c r="C684" s="523"/>
      <c r="D684" s="523"/>
      <c r="E684" s="523"/>
      <c r="F684" s="523"/>
      <c r="G684" s="523"/>
      <c r="H684" s="524"/>
      <c r="I684" s="523"/>
      <c r="J684" s="523"/>
      <c r="K684" s="523"/>
      <c r="L684" s="523"/>
      <c r="M684" s="523"/>
      <c r="N684" s="523"/>
      <c r="O684" s="523"/>
      <c r="P684" s="523"/>
      <c r="Q684" s="523"/>
      <c r="R684" s="523"/>
      <c r="S684" s="523"/>
      <c r="T684" s="523"/>
      <c r="U684" s="523"/>
      <c r="V684" s="523"/>
      <c r="W684" s="523"/>
      <c r="X684" s="523"/>
      <c r="Y684" s="523"/>
      <c r="Z684" s="523"/>
    </row>
    <row r="685" spans="1:26" ht="15.75" customHeight="1">
      <c r="A685" s="523"/>
      <c r="B685" s="523"/>
      <c r="C685" s="523"/>
      <c r="D685" s="523"/>
      <c r="E685" s="523"/>
      <c r="F685" s="523"/>
      <c r="G685" s="523"/>
      <c r="H685" s="524"/>
      <c r="I685" s="523"/>
      <c r="J685" s="523"/>
      <c r="K685" s="523"/>
      <c r="L685" s="523"/>
      <c r="M685" s="523"/>
      <c r="N685" s="523"/>
      <c r="O685" s="523"/>
      <c r="P685" s="523"/>
      <c r="Q685" s="523"/>
      <c r="R685" s="523"/>
      <c r="S685" s="523"/>
      <c r="T685" s="523"/>
      <c r="U685" s="523"/>
      <c r="V685" s="523"/>
      <c r="W685" s="523"/>
      <c r="X685" s="523"/>
      <c r="Y685" s="523"/>
      <c r="Z685" s="523"/>
    </row>
    <row r="686" spans="1:26" ht="15.75" customHeight="1">
      <c r="A686" s="523"/>
      <c r="B686" s="523"/>
      <c r="C686" s="523"/>
      <c r="D686" s="523"/>
      <c r="E686" s="523"/>
      <c r="F686" s="523"/>
      <c r="G686" s="523"/>
      <c r="H686" s="524"/>
      <c r="I686" s="523"/>
      <c r="J686" s="523"/>
      <c r="K686" s="523"/>
      <c r="L686" s="523"/>
      <c r="M686" s="523"/>
      <c r="N686" s="523"/>
      <c r="O686" s="523"/>
      <c r="P686" s="523"/>
      <c r="Q686" s="523"/>
      <c r="R686" s="523"/>
      <c r="S686" s="523"/>
      <c r="T686" s="523"/>
      <c r="U686" s="523"/>
      <c r="V686" s="523"/>
      <c r="W686" s="523"/>
      <c r="X686" s="523"/>
      <c r="Y686" s="523"/>
      <c r="Z686" s="523"/>
    </row>
    <row r="687" spans="1:26" ht="15.75" customHeight="1">
      <c r="A687" s="523"/>
      <c r="B687" s="523"/>
      <c r="C687" s="523"/>
      <c r="D687" s="523"/>
      <c r="E687" s="523"/>
      <c r="F687" s="523"/>
      <c r="G687" s="523"/>
      <c r="H687" s="524"/>
      <c r="I687" s="523"/>
      <c r="J687" s="523"/>
      <c r="K687" s="523"/>
      <c r="L687" s="523"/>
      <c r="M687" s="523"/>
      <c r="N687" s="523"/>
      <c r="O687" s="523"/>
      <c r="P687" s="523"/>
      <c r="Q687" s="523"/>
      <c r="R687" s="523"/>
      <c r="S687" s="523"/>
      <c r="T687" s="523"/>
      <c r="U687" s="523"/>
      <c r="V687" s="523"/>
      <c r="W687" s="523"/>
      <c r="X687" s="523"/>
      <c r="Y687" s="523"/>
      <c r="Z687" s="523"/>
    </row>
    <row r="688" spans="1:26" ht="15.75" customHeight="1">
      <c r="A688" s="523"/>
      <c r="B688" s="523"/>
      <c r="C688" s="523"/>
      <c r="D688" s="523"/>
      <c r="E688" s="523"/>
      <c r="F688" s="523"/>
      <c r="G688" s="523"/>
      <c r="H688" s="524"/>
      <c r="I688" s="523"/>
      <c r="J688" s="523"/>
      <c r="K688" s="523"/>
      <c r="L688" s="523"/>
      <c r="M688" s="523"/>
      <c r="N688" s="523"/>
      <c r="O688" s="523"/>
      <c r="P688" s="523"/>
      <c r="Q688" s="523"/>
      <c r="R688" s="523"/>
      <c r="S688" s="523"/>
      <c r="T688" s="523"/>
      <c r="U688" s="523"/>
      <c r="V688" s="523"/>
      <c r="W688" s="523"/>
      <c r="X688" s="523"/>
      <c r="Y688" s="523"/>
      <c r="Z688" s="523"/>
    </row>
    <row r="689" spans="1:26" ht="15.75" customHeight="1">
      <c r="A689" s="523"/>
      <c r="B689" s="523"/>
      <c r="C689" s="523"/>
      <c r="D689" s="523"/>
      <c r="E689" s="523"/>
      <c r="F689" s="523"/>
      <c r="G689" s="523"/>
      <c r="H689" s="524"/>
      <c r="I689" s="523"/>
      <c r="J689" s="523"/>
      <c r="K689" s="523"/>
      <c r="L689" s="523"/>
      <c r="M689" s="523"/>
      <c r="N689" s="523"/>
      <c r="O689" s="523"/>
      <c r="P689" s="523"/>
      <c r="Q689" s="523"/>
      <c r="R689" s="523"/>
      <c r="S689" s="523"/>
      <c r="T689" s="523"/>
      <c r="U689" s="523"/>
      <c r="V689" s="523"/>
      <c r="W689" s="523"/>
      <c r="X689" s="523"/>
      <c r="Y689" s="523"/>
      <c r="Z689" s="523"/>
    </row>
    <row r="690" spans="1:26" ht="15.75" customHeight="1">
      <c r="A690" s="523"/>
      <c r="B690" s="523"/>
      <c r="C690" s="523"/>
      <c r="D690" s="523"/>
      <c r="E690" s="523"/>
      <c r="F690" s="523"/>
      <c r="G690" s="523"/>
      <c r="H690" s="524"/>
      <c r="I690" s="523"/>
      <c r="J690" s="523"/>
      <c r="K690" s="523"/>
      <c r="L690" s="523"/>
      <c r="M690" s="523"/>
      <c r="N690" s="523"/>
      <c r="O690" s="523"/>
      <c r="P690" s="523"/>
      <c r="Q690" s="523"/>
      <c r="R690" s="523"/>
      <c r="S690" s="523"/>
      <c r="T690" s="523"/>
      <c r="U690" s="523"/>
      <c r="V690" s="523"/>
      <c r="W690" s="523"/>
      <c r="X690" s="523"/>
      <c r="Y690" s="523"/>
      <c r="Z690" s="523"/>
    </row>
    <row r="691" spans="1:26" ht="15.75" customHeight="1">
      <c r="A691" s="523"/>
      <c r="B691" s="523"/>
      <c r="C691" s="523"/>
      <c r="D691" s="523"/>
      <c r="E691" s="523"/>
      <c r="F691" s="523"/>
      <c r="G691" s="523"/>
      <c r="H691" s="524"/>
      <c r="I691" s="523"/>
      <c r="J691" s="523"/>
      <c r="K691" s="523"/>
      <c r="L691" s="523"/>
      <c r="M691" s="523"/>
      <c r="N691" s="523"/>
      <c r="O691" s="523"/>
      <c r="P691" s="523"/>
      <c r="Q691" s="523"/>
      <c r="R691" s="523"/>
      <c r="S691" s="523"/>
      <c r="T691" s="523"/>
      <c r="U691" s="523"/>
      <c r="V691" s="523"/>
      <c r="W691" s="523"/>
      <c r="X691" s="523"/>
      <c r="Y691" s="523"/>
      <c r="Z691" s="523"/>
    </row>
    <row r="692" spans="1:26" ht="15.75" customHeight="1">
      <c r="A692" s="523"/>
      <c r="B692" s="523"/>
      <c r="C692" s="523"/>
      <c r="D692" s="523"/>
      <c r="E692" s="523"/>
      <c r="F692" s="523"/>
      <c r="G692" s="523"/>
      <c r="H692" s="524"/>
      <c r="I692" s="523"/>
      <c r="J692" s="523"/>
      <c r="K692" s="523"/>
      <c r="L692" s="523"/>
      <c r="M692" s="523"/>
      <c r="N692" s="523"/>
      <c r="O692" s="523"/>
      <c r="P692" s="523"/>
      <c r="Q692" s="523"/>
      <c r="R692" s="523"/>
      <c r="S692" s="523"/>
      <c r="T692" s="523"/>
      <c r="U692" s="523"/>
      <c r="V692" s="523"/>
      <c r="W692" s="523"/>
      <c r="X692" s="523"/>
      <c r="Y692" s="523"/>
      <c r="Z692" s="523"/>
    </row>
    <row r="693" spans="1:26" ht="15.75" customHeight="1">
      <c r="A693" s="523"/>
      <c r="B693" s="523"/>
      <c r="C693" s="523"/>
      <c r="D693" s="523"/>
      <c r="E693" s="523"/>
      <c r="F693" s="523"/>
      <c r="G693" s="523"/>
      <c r="H693" s="524"/>
      <c r="I693" s="523"/>
      <c r="J693" s="523"/>
      <c r="K693" s="523"/>
      <c r="L693" s="523"/>
      <c r="M693" s="523"/>
      <c r="N693" s="523"/>
      <c r="O693" s="523"/>
      <c r="P693" s="523"/>
      <c r="Q693" s="523"/>
      <c r="R693" s="523"/>
      <c r="S693" s="523"/>
      <c r="T693" s="523"/>
      <c r="U693" s="523"/>
      <c r="V693" s="523"/>
      <c r="W693" s="523"/>
      <c r="X693" s="523"/>
      <c r="Y693" s="523"/>
      <c r="Z693" s="523"/>
    </row>
    <row r="694" spans="1:26" ht="15.75" customHeight="1">
      <c r="A694" s="523"/>
      <c r="B694" s="523"/>
      <c r="C694" s="523"/>
      <c r="D694" s="523"/>
      <c r="E694" s="523"/>
      <c r="F694" s="523"/>
      <c r="G694" s="523"/>
      <c r="H694" s="524"/>
      <c r="I694" s="523"/>
      <c r="J694" s="523"/>
      <c r="K694" s="523"/>
      <c r="L694" s="523"/>
      <c r="M694" s="523"/>
      <c r="N694" s="523"/>
      <c r="O694" s="523"/>
      <c r="P694" s="523"/>
      <c r="Q694" s="523"/>
      <c r="R694" s="523"/>
      <c r="S694" s="523"/>
      <c r="T694" s="523"/>
      <c r="U694" s="523"/>
      <c r="V694" s="523"/>
      <c r="W694" s="523"/>
      <c r="X694" s="523"/>
      <c r="Y694" s="523"/>
      <c r="Z694" s="523"/>
    </row>
    <row r="695" spans="1:26" ht="15.75" customHeight="1">
      <c r="A695" s="523"/>
      <c r="B695" s="523"/>
      <c r="C695" s="523"/>
      <c r="D695" s="523"/>
      <c r="E695" s="523"/>
      <c r="F695" s="523"/>
      <c r="G695" s="523"/>
      <c r="H695" s="524"/>
      <c r="I695" s="523"/>
      <c r="J695" s="523"/>
      <c r="K695" s="523"/>
      <c r="L695" s="523"/>
      <c r="M695" s="523"/>
      <c r="N695" s="523"/>
      <c r="O695" s="523"/>
      <c r="P695" s="523"/>
      <c r="Q695" s="523"/>
      <c r="R695" s="523"/>
      <c r="S695" s="523"/>
      <c r="T695" s="523"/>
      <c r="U695" s="523"/>
      <c r="V695" s="523"/>
      <c r="W695" s="523"/>
      <c r="X695" s="523"/>
      <c r="Y695" s="523"/>
      <c r="Z695" s="523"/>
    </row>
    <row r="696" spans="1:26" ht="15.75" customHeight="1">
      <c r="A696" s="523"/>
      <c r="B696" s="523"/>
      <c r="C696" s="523"/>
      <c r="D696" s="523"/>
      <c r="E696" s="523"/>
      <c r="F696" s="523"/>
      <c r="G696" s="523"/>
      <c r="H696" s="524"/>
      <c r="I696" s="523"/>
      <c r="J696" s="523"/>
      <c r="K696" s="523"/>
      <c r="L696" s="523"/>
      <c r="M696" s="523"/>
      <c r="N696" s="523"/>
      <c r="O696" s="523"/>
      <c r="P696" s="523"/>
      <c r="Q696" s="523"/>
      <c r="R696" s="523"/>
      <c r="S696" s="523"/>
      <c r="T696" s="523"/>
      <c r="U696" s="523"/>
      <c r="V696" s="523"/>
      <c r="W696" s="523"/>
      <c r="X696" s="523"/>
      <c r="Y696" s="523"/>
      <c r="Z696" s="523"/>
    </row>
    <row r="697" spans="1:26" ht="15.75" customHeight="1">
      <c r="A697" s="523"/>
      <c r="B697" s="523"/>
      <c r="C697" s="523"/>
      <c r="D697" s="523"/>
      <c r="E697" s="523"/>
      <c r="F697" s="523"/>
      <c r="G697" s="523"/>
      <c r="H697" s="524"/>
      <c r="I697" s="523"/>
      <c r="J697" s="523"/>
      <c r="K697" s="523"/>
      <c r="L697" s="523"/>
      <c r="M697" s="523"/>
      <c r="N697" s="523"/>
      <c r="O697" s="523"/>
      <c r="P697" s="523"/>
      <c r="Q697" s="523"/>
      <c r="R697" s="523"/>
      <c r="S697" s="523"/>
      <c r="T697" s="523"/>
      <c r="U697" s="523"/>
      <c r="V697" s="523"/>
      <c r="W697" s="523"/>
      <c r="X697" s="523"/>
      <c r="Y697" s="523"/>
      <c r="Z697" s="523"/>
    </row>
    <row r="698" spans="1:26" ht="15.75" customHeight="1">
      <c r="A698" s="523"/>
      <c r="B698" s="523"/>
      <c r="C698" s="523"/>
      <c r="D698" s="523"/>
      <c r="E698" s="523"/>
      <c r="F698" s="523"/>
      <c r="G698" s="523"/>
      <c r="H698" s="524"/>
      <c r="I698" s="523"/>
      <c r="J698" s="523"/>
      <c r="K698" s="523"/>
      <c r="L698" s="523"/>
      <c r="M698" s="523"/>
      <c r="N698" s="523"/>
      <c r="O698" s="523"/>
      <c r="P698" s="523"/>
      <c r="Q698" s="523"/>
      <c r="R698" s="523"/>
      <c r="S698" s="523"/>
      <c r="T698" s="523"/>
      <c r="U698" s="523"/>
      <c r="V698" s="523"/>
      <c r="W698" s="523"/>
      <c r="X698" s="523"/>
      <c r="Y698" s="523"/>
      <c r="Z698" s="523"/>
    </row>
    <row r="699" spans="1:26" ht="15.75" customHeight="1">
      <c r="A699" s="523"/>
      <c r="B699" s="523"/>
      <c r="C699" s="523"/>
      <c r="D699" s="523"/>
      <c r="E699" s="523"/>
      <c r="F699" s="523"/>
      <c r="G699" s="523"/>
      <c r="H699" s="524"/>
      <c r="I699" s="523"/>
      <c r="J699" s="523"/>
      <c r="K699" s="523"/>
      <c r="L699" s="523"/>
      <c r="M699" s="523"/>
      <c r="N699" s="523"/>
      <c r="O699" s="523"/>
      <c r="P699" s="523"/>
      <c r="Q699" s="523"/>
      <c r="R699" s="523"/>
      <c r="S699" s="523"/>
      <c r="T699" s="523"/>
      <c r="U699" s="523"/>
      <c r="V699" s="523"/>
      <c r="W699" s="523"/>
      <c r="X699" s="523"/>
      <c r="Y699" s="523"/>
      <c r="Z699" s="523"/>
    </row>
    <row r="700" spans="1:26" ht="15.75" customHeight="1">
      <c r="A700" s="523"/>
      <c r="B700" s="523"/>
      <c r="C700" s="523"/>
      <c r="D700" s="523"/>
      <c r="E700" s="523"/>
      <c r="F700" s="523"/>
      <c r="G700" s="523"/>
      <c r="H700" s="524"/>
      <c r="I700" s="523"/>
      <c r="J700" s="523"/>
      <c r="K700" s="523"/>
      <c r="L700" s="523"/>
      <c r="M700" s="523"/>
      <c r="N700" s="523"/>
      <c r="O700" s="523"/>
      <c r="P700" s="523"/>
      <c r="Q700" s="523"/>
      <c r="R700" s="523"/>
      <c r="S700" s="523"/>
      <c r="T700" s="523"/>
      <c r="U700" s="523"/>
      <c r="V700" s="523"/>
      <c r="W700" s="523"/>
      <c r="X700" s="523"/>
      <c r="Y700" s="523"/>
      <c r="Z700" s="523"/>
    </row>
    <row r="701" spans="1:26" ht="15.75" customHeight="1">
      <c r="A701" s="523"/>
      <c r="B701" s="523"/>
      <c r="C701" s="523"/>
      <c r="D701" s="523"/>
      <c r="E701" s="523"/>
      <c r="F701" s="523"/>
      <c r="G701" s="523"/>
      <c r="H701" s="524"/>
      <c r="I701" s="523"/>
      <c r="J701" s="523"/>
      <c r="K701" s="523"/>
      <c r="L701" s="523"/>
      <c r="M701" s="523"/>
      <c r="N701" s="523"/>
      <c r="O701" s="523"/>
      <c r="P701" s="523"/>
      <c r="Q701" s="523"/>
      <c r="R701" s="523"/>
      <c r="S701" s="523"/>
      <c r="T701" s="523"/>
      <c r="U701" s="523"/>
      <c r="V701" s="523"/>
      <c r="W701" s="523"/>
      <c r="X701" s="523"/>
      <c r="Y701" s="523"/>
      <c r="Z701" s="523"/>
    </row>
    <row r="702" spans="1:26" ht="15.75" customHeight="1">
      <c r="A702" s="523"/>
      <c r="B702" s="523"/>
      <c r="C702" s="523"/>
      <c r="D702" s="523"/>
      <c r="E702" s="523"/>
      <c r="F702" s="523"/>
      <c r="G702" s="523"/>
      <c r="H702" s="524"/>
      <c r="I702" s="523"/>
      <c r="J702" s="523"/>
      <c r="K702" s="523"/>
      <c r="L702" s="523"/>
      <c r="M702" s="523"/>
      <c r="N702" s="523"/>
      <c r="O702" s="523"/>
      <c r="P702" s="523"/>
      <c r="Q702" s="523"/>
      <c r="R702" s="523"/>
      <c r="S702" s="523"/>
      <c r="T702" s="523"/>
      <c r="U702" s="523"/>
      <c r="V702" s="523"/>
      <c r="W702" s="523"/>
      <c r="X702" s="523"/>
      <c r="Y702" s="523"/>
      <c r="Z702" s="523"/>
    </row>
    <row r="703" spans="1:26" ht="15.75" customHeight="1">
      <c r="A703" s="523"/>
      <c r="B703" s="523"/>
      <c r="C703" s="523"/>
      <c r="D703" s="523"/>
      <c r="E703" s="523"/>
      <c r="F703" s="523"/>
      <c r="G703" s="523"/>
      <c r="H703" s="524"/>
      <c r="I703" s="523"/>
      <c r="J703" s="523"/>
      <c r="K703" s="523"/>
      <c r="L703" s="523"/>
      <c r="M703" s="523"/>
      <c r="N703" s="523"/>
      <c r="O703" s="523"/>
      <c r="P703" s="523"/>
      <c r="Q703" s="523"/>
      <c r="R703" s="523"/>
      <c r="S703" s="523"/>
      <c r="T703" s="523"/>
      <c r="U703" s="523"/>
      <c r="V703" s="523"/>
      <c r="W703" s="523"/>
      <c r="X703" s="523"/>
      <c r="Y703" s="523"/>
      <c r="Z703" s="523"/>
    </row>
    <row r="704" spans="1:26" ht="15.75" customHeight="1">
      <c r="A704" s="523"/>
      <c r="B704" s="523"/>
      <c r="C704" s="523"/>
      <c r="D704" s="523"/>
      <c r="E704" s="523"/>
      <c r="F704" s="523"/>
      <c r="G704" s="523"/>
      <c r="H704" s="524"/>
      <c r="I704" s="523"/>
      <c r="J704" s="523"/>
      <c r="K704" s="523"/>
      <c r="L704" s="523"/>
      <c r="M704" s="523"/>
      <c r="N704" s="523"/>
      <c r="O704" s="523"/>
      <c r="P704" s="523"/>
      <c r="Q704" s="523"/>
      <c r="R704" s="523"/>
      <c r="S704" s="523"/>
      <c r="T704" s="523"/>
      <c r="U704" s="523"/>
      <c r="V704" s="523"/>
      <c r="W704" s="523"/>
      <c r="X704" s="523"/>
      <c r="Y704" s="523"/>
      <c r="Z704" s="523"/>
    </row>
    <row r="705" spans="1:26" ht="15.75" customHeight="1">
      <c r="A705" s="523"/>
      <c r="B705" s="523"/>
      <c r="C705" s="523"/>
      <c r="D705" s="523"/>
      <c r="E705" s="523"/>
      <c r="F705" s="523"/>
      <c r="G705" s="523"/>
      <c r="H705" s="524"/>
      <c r="I705" s="523"/>
      <c r="J705" s="523"/>
      <c r="K705" s="523"/>
      <c r="L705" s="523"/>
      <c r="M705" s="523"/>
      <c r="N705" s="523"/>
      <c r="O705" s="523"/>
      <c r="P705" s="523"/>
      <c r="Q705" s="523"/>
      <c r="R705" s="523"/>
      <c r="S705" s="523"/>
      <c r="T705" s="523"/>
      <c r="U705" s="523"/>
      <c r="V705" s="523"/>
      <c r="W705" s="523"/>
      <c r="X705" s="523"/>
      <c r="Y705" s="523"/>
      <c r="Z705" s="523"/>
    </row>
    <row r="706" spans="1:26" ht="15.75" customHeight="1">
      <c r="A706" s="523"/>
      <c r="B706" s="523"/>
      <c r="C706" s="523"/>
      <c r="D706" s="523"/>
      <c r="E706" s="523"/>
      <c r="F706" s="523"/>
      <c r="G706" s="523"/>
      <c r="H706" s="524"/>
      <c r="I706" s="523"/>
      <c r="J706" s="523"/>
      <c r="K706" s="523"/>
      <c r="L706" s="523"/>
      <c r="M706" s="523"/>
      <c r="N706" s="523"/>
      <c r="O706" s="523"/>
      <c r="P706" s="523"/>
      <c r="Q706" s="523"/>
      <c r="R706" s="523"/>
      <c r="S706" s="523"/>
      <c r="T706" s="523"/>
      <c r="U706" s="523"/>
      <c r="V706" s="523"/>
      <c r="W706" s="523"/>
      <c r="X706" s="523"/>
      <c r="Y706" s="523"/>
      <c r="Z706" s="523"/>
    </row>
    <row r="707" spans="1:26" ht="15.75" customHeight="1">
      <c r="A707" s="523"/>
      <c r="B707" s="523"/>
      <c r="C707" s="523"/>
      <c r="D707" s="523"/>
      <c r="E707" s="523"/>
      <c r="F707" s="523"/>
      <c r="G707" s="523"/>
      <c r="H707" s="524"/>
      <c r="I707" s="523"/>
      <c r="J707" s="523"/>
      <c r="K707" s="523"/>
      <c r="L707" s="523"/>
      <c r="M707" s="523"/>
      <c r="N707" s="523"/>
      <c r="O707" s="523"/>
      <c r="P707" s="523"/>
      <c r="Q707" s="523"/>
      <c r="R707" s="523"/>
      <c r="S707" s="523"/>
      <c r="T707" s="523"/>
      <c r="U707" s="523"/>
      <c r="V707" s="523"/>
      <c r="W707" s="523"/>
      <c r="X707" s="523"/>
      <c r="Y707" s="523"/>
      <c r="Z707" s="523"/>
    </row>
    <row r="708" spans="1:26" ht="15.75" customHeight="1">
      <c r="A708" s="523"/>
      <c r="B708" s="523"/>
      <c r="C708" s="523"/>
      <c r="D708" s="523"/>
      <c r="E708" s="523"/>
      <c r="F708" s="523"/>
      <c r="G708" s="523"/>
      <c r="H708" s="524"/>
      <c r="I708" s="523"/>
      <c r="J708" s="523"/>
      <c r="K708" s="523"/>
      <c r="L708" s="523"/>
      <c r="M708" s="523"/>
      <c r="N708" s="523"/>
      <c r="O708" s="523"/>
      <c r="P708" s="523"/>
      <c r="Q708" s="523"/>
      <c r="R708" s="523"/>
      <c r="S708" s="523"/>
      <c r="T708" s="523"/>
      <c r="U708" s="523"/>
      <c r="V708" s="523"/>
      <c r="W708" s="523"/>
      <c r="X708" s="523"/>
      <c r="Y708" s="523"/>
      <c r="Z708" s="523"/>
    </row>
    <row r="709" spans="1:26" ht="15.75" customHeight="1">
      <c r="A709" s="523"/>
      <c r="B709" s="523"/>
      <c r="C709" s="523"/>
      <c r="D709" s="523"/>
      <c r="E709" s="523"/>
      <c r="F709" s="523"/>
      <c r="G709" s="523"/>
      <c r="H709" s="524"/>
      <c r="I709" s="523"/>
      <c r="J709" s="523"/>
      <c r="K709" s="523"/>
      <c r="L709" s="523"/>
      <c r="M709" s="523"/>
      <c r="N709" s="523"/>
      <c r="O709" s="523"/>
      <c r="P709" s="523"/>
      <c r="Q709" s="523"/>
      <c r="R709" s="523"/>
      <c r="S709" s="523"/>
      <c r="T709" s="523"/>
      <c r="U709" s="523"/>
      <c r="V709" s="523"/>
      <c r="W709" s="523"/>
      <c r="X709" s="523"/>
      <c r="Y709" s="523"/>
      <c r="Z709" s="523"/>
    </row>
    <row r="710" spans="1:26" ht="15.75" customHeight="1">
      <c r="A710" s="523"/>
      <c r="B710" s="523"/>
      <c r="C710" s="523"/>
      <c r="D710" s="523"/>
      <c r="E710" s="523"/>
      <c r="F710" s="523"/>
      <c r="G710" s="523"/>
      <c r="H710" s="524"/>
      <c r="I710" s="523"/>
      <c r="J710" s="523"/>
      <c r="K710" s="523"/>
      <c r="L710" s="523"/>
      <c r="M710" s="523"/>
      <c r="N710" s="523"/>
      <c r="O710" s="523"/>
      <c r="P710" s="523"/>
      <c r="Q710" s="523"/>
      <c r="R710" s="523"/>
      <c r="S710" s="523"/>
      <c r="T710" s="523"/>
      <c r="U710" s="523"/>
      <c r="V710" s="523"/>
      <c r="W710" s="523"/>
      <c r="X710" s="523"/>
      <c r="Y710" s="523"/>
      <c r="Z710" s="523"/>
    </row>
    <row r="711" spans="1:26" ht="15.75" customHeight="1">
      <c r="A711" s="523"/>
      <c r="B711" s="523"/>
      <c r="C711" s="523"/>
      <c r="D711" s="523"/>
      <c r="E711" s="523"/>
      <c r="F711" s="523"/>
      <c r="G711" s="523"/>
      <c r="H711" s="524"/>
      <c r="I711" s="523"/>
      <c r="J711" s="523"/>
      <c r="K711" s="523"/>
      <c r="L711" s="523"/>
      <c r="M711" s="523"/>
      <c r="N711" s="523"/>
      <c r="O711" s="523"/>
      <c r="P711" s="523"/>
      <c r="Q711" s="523"/>
      <c r="R711" s="523"/>
      <c r="S711" s="523"/>
      <c r="T711" s="523"/>
      <c r="U711" s="523"/>
      <c r="V711" s="523"/>
      <c r="W711" s="523"/>
      <c r="X711" s="523"/>
      <c r="Y711" s="523"/>
      <c r="Z711" s="523"/>
    </row>
    <row r="712" spans="1:26" ht="15.75" customHeight="1">
      <c r="A712" s="523"/>
      <c r="B712" s="523"/>
      <c r="C712" s="523"/>
      <c r="D712" s="523"/>
      <c r="E712" s="523"/>
      <c r="F712" s="523"/>
      <c r="G712" s="523"/>
      <c r="H712" s="524"/>
      <c r="I712" s="523"/>
      <c r="J712" s="523"/>
      <c r="K712" s="523"/>
      <c r="L712" s="523"/>
      <c r="M712" s="523"/>
      <c r="N712" s="523"/>
      <c r="O712" s="523"/>
      <c r="P712" s="523"/>
      <c r="Q712" s="523"/>
      <c r="R712" s="523"/>
      <c r="S712" s="523"/>
      <c r="T712" s="523"/>
      <c r="U712" s="523"/>
      <c r="V712" s="523"/>
      <c r="W712" s="523"/>
      <c r="X712" s="523"/>
      <c r="Y712" s="523"/>
      <c r="Z712" s="523"/>
    </row>
    <row r="713" spans="1:26" ht="15.75" customHeight="1">
      <c r="A713" s="523"/>
      <c r="B713" s="523"/>
      <c r="C713" s="523"/>
      <c r="D713" s="523"/>
      <c r="E713" s="523"/>
      <c r="F713" s="523"/>
      <c r="G713" s="523"/>
      <c r="H713" s="524"/>
      <c r="I713" s="523"/>
      <c r="J713" s="523"/>
      <c r="K713" s="523"/>
      <c r="L713" s="523"/>
      <c r="M713" s="523"/>
      <c r="N713" s="523"/>
      <c r="O713" s="523"/>
      <c r="P713" s="523"/>
      <c r="Q713" s="523"/>
      <c r="R713" s="523"/>
      <c r="S713" s="523"/>
      <c r="T713" s="523"/>
      <c r="U713" s="523"/>
      <c r="V713" s="523"/>
      <c r="W713" s="523"/>
      <c r="X713" s="523"/>
      <c r="Y713" s="523"/>
      <c r="Z713" s="523"/>
    </row>
    <row r="714" spans="1:26" ht="15.75" customHeight="1">
      <c r="A714" s="523"/>
      <c r="B714" s="523"/>
      <c r="C714" s="523"/>
      <c r="D714" s="523"/>
      <c r="E714" s="523"/>
      <c r="F714" s="523"/>
      <c r="G714" s="523"/>
      <c r="H714" s="524"/>
      <c r="I714" s="523"/>
      <c r="J714" s="523"/>
      <c r="K714" s="523"/>
      <c r="L714" s="523"/>
      <c r="M714" s="523"/>
      <c r="N714" s="523"/>
      <c r="O714" s="523"/>
      <c r="P714" s="523"/>
      <c r="Q714" s="523"/>
      <c r="R714" s="523"/>
      <c r="S714" s="523"/>
      <c r="T714" s="523"/>
      <c r="U714" s="523"/>
      <c r="V714" s="523"/>
      <c r="W714" s="523"/>
      <c r="X714" s="523"/>
      <c r="Y714" s="523"/>
      <c r="Z714" s="523"/>
    </row>
    <row r="715" spans="1:26" ht="15.75" customHeight="1">
      <c r="A715" s="523"/>
      <c r="B715" s="523"/>
      <c r="C715" s="523"/>
      <c r="D715" s="523"/>
      <c r="E715" s="523"/>
      <c r="F715" s="523"/>
      <c r="G715" s="523"/>
      <c r="H715" s="524"/>
      <c r="I715" s="523"/>
      <c r="J715" s="523"/>
      <c r="K715" s="523"/>
      <c r="L715" s="523"/>
      <c r="M715" s="523"/>
      <c r="N715" s="523"/>
      <c r="O715" s="523"/>
      <c r="P715" s="523"/>
      <c r="Q715" s="523"/>
      <c r="R715" s="523"/>
      <c r="S715" s="523"/>
      <c r="T715" s="523"/>
      <c r="U715" s="523"/>
      <c r="V715" s="523"/>
      <c r="W715" s="523"/>
      <c r="X715" s="523"/>
      <c r="Y715" s="523"/>
      <c r="Z715" s="523"/>
    </row>
    <row r="716" spans="1:26" ht="15.75" customHeight="1">
      <c r="A716" s="523"/>
      <c r="B716" s="523"/>
      <c r="C716" s="523"/>
      <c r="D716" s="523"/>
      <c r="E716" s="523"/>
      <c r="F716" s="523"/>
      <c r="G716" s="523"/>
      <c r="H716" s="524"/>
      <c r="I716" s="523"/>
      <c r="J716" s="523"/>
      <c r="K716" s="523"/>
      <c r="L716" s="523"/>
      <c r="M716" s="523"/>
      <c r="N716" s="523"/>
      <c r="O716" s="523"/>
      <c r="P716" s="523"/>
      <c r="Q716" s="523"/>
      <c r="R716" s="523"/>
      <c r="S716" s="523"/>
      <c r="T716" s="523"/>
      <c r="U716" s="523"/>
      <c r="V716" s="523"/>
      <c r="W716" s="523"/>
      <c r="X716" s="523"/>
      <c r="Y716" s="523"/>
      <c r="Z716" s="523"/>
    </row>
    <row r="717" spans="1:26" ht="15.75" customHeight="1">
      <c r="A717" s="523"/>
      <c r="B717" s="523"/>
      <c r="C717" s="523"/>
      <c r="D717" s="523"/>
      <c r="E717" s="523"/>
      <c r="F717" s="523"/>
      <c r="G717" s="523"/>
      <c r="H717" s="524"/>
      <c r="I717" s="523"/>
      <c r="J717" s="523"/>
      <c r="K717" s="523"/>
      <c r="L717" s="523"/>
      <c r="M717" s="523"/>
      <c r="N717" s="523"/>
      <c r="O717" s="523"/>
      <c r="P717" s="523"/>
      <c r="Q717" s="523"/>
      <c r="R717" s="523"/>
      <c r="S717" s="523"/>
      <c r="T717" s="523"/>
      <c r="U717" s="523"/>
      <c r="V717" s="523"/>
      <c r="W717" s="523"/>
      <c r="X717" s="523"/>
      <c r="Y717" s="523"/>
      <c r="Z717" s="523"/>
    </row>
    <row r="718" spans="1:26" ht="15.75" customHeight="1">
      <c r="A718" s="523"/>
      <c r="B718" s="523"/>
      <c r="C718" s="523"/>
      <c r="D718" s="523"/>
      <c r="E718" s="523"/>
      <c r="F718" s="523"/>
      <c r="G718" s="523"/>
      <c r="H718" s="524"/>
      <c r="I718" s="523"/>
      <c r="J718" s="523"/>
      <c r="K718" s="523"/>
      <c r="L718" s="523"/>
      <c r="M718" s="523"/>
      <c r="N718" s="523"/>
      <c r="O718" s="523"/>
      <c r="P718" s="523"/>
      <c r="Q718" s="523"/>
      <c r="R718" s="523"/>
      <c r="S718" s="523"/>
      <c r="T718" s="523"/>
      <c r="U718" s="523"/>
      <c r="V718" s="523"/>
      <c r="W718" s="523"/>
      <c r="X718" s="523"/>
      <c r="Y718" s="523"/>
      <c r="Z718" s="523"/>
    </row>
    <row r="719" spans="1:26" ht="15.75" customHeight="1">
      <c r="A719" s="523"/>
      <c r="B719" s="523"/>
      <c r="C719" s="523"/>
      <c r="D719" s="523"/>
      <c r="E719" s="523"/>
      <c r="F719" s="523"/>
      <c r="G719" s="523"/>
      <c r="H719" s="524"/>
      <c r="I719" s="523"/>
      <c r="J719" s="523"/>
      <c r="K719" s="523"/>
      <c r="L719" s="523"/>
      <c r="M719" s="523"/>
      <c r="N719" s="523"/>
      <c r="O719" s="523"/>
      <c r="P719" s="523"/>
      <c r="Q719" s="523"/>
      <c r="R719" s="523"/>
      <c r="S719" s="523"/>
      <c r="T719" s="523"/>
      <c r="U719" s="523"/>
      <c r="V719" s="523"/>
      <c r="W719" s="523"/>
      <c r="X719" s="523"/>
      <c r="Y719" s="523"/>
      <c r="Z719" s="523"/>
    </row>
    <row r="720" spans="1:26" ht="15.75" customHeight="1">
      <c r="A720" s="523"/>
      <c r="B720" s="523"/>
      <c r="C720" s="523"/>
      <c r="D720" s="523"/>
      <c r="E720" s="523"/>
      <c r="F720" s="523"/>
      <c r="G720" s="523"/>
      <c r="H720" s="524"/>
      <c r="I720" s="523"/>
      <c r="J720" s="523"/>
      <c r="K720" s="523"/>
      <c r="L720" s="523"/>
      <c r="M720" s="523"/>
      <c r="N720" s="523"/>
      <c r="O720" s="523"/>
      <c r="P720" s="523"/>
      <c r="Q720" s="523"/>
      <c r="R720" s="523"/>
      <c r="S720" s="523"/>
      <c r="T720" s="523"/>
      <c r="U720" s="523"/>
      <c r="V720" s="523"/>
      <c r="W720" s="523"/>
      <c r="X720" s="523"/>
      <c r="Y720" s="523"/>
      <c r="Z720" s="523"/>
    </row>
    <row r="721" spans="1:26" ht="15.75" customHeight="1">
      <c r="A721" s="523"/>
      <c r="B721" s="523"/>
      <c r="C721" s="523"/>
      <c r="D721" s="523"/>
      <c r="E721" s="523"/>
      <c r="F721" s="523"/>
      <c r="G721" s="523"/>
      <c r="H721" s="524"/>
      <c r="I721" s="523"/>
      <c r="J721" s="523"/>
      <c r="K721" s="523"/>
      <c r="L721" s="523"/>
      <c r="M721" s="523"/>
      <c r="N721" s="523"/>
      <c r="O721" s="523"/>
      <c r="P721" s="523"/>
      <c r="Q721" s="523"/>
      <c r="R721" s="523"/>
      <c r="S721" s="523"/>
      <c r="T721" s="523"/>
      <c r="U721" s="523"/>
      <c r="V721" s="523"/>
      <c r="W721" s="523"/>
      <c r="X721" s="523"/>
      <c r="Y721" s="523"/>
      <c r="Z721" s="523"/>
    </row>
    <row r="722" spans="1:26" ht="15.75" customHeight="1">
      <c r="A722" s="523"/>
      <c r="B722" s="523"/>
      <c r="C722" s="523"/>
      <c r="D722" s="523"/>
      <c r="E722" s="523"/>
      <c r="F722" s="523"/>
      <c r="G722" s="523"/>
      <c r="H722" s="524"/>
      <c r="I722" s="523"/>
      <c r="J722" s="523"/>
      <c r="K722" s="523"/>
      <c r="L722" s="523"/>
      <c r="M722" s="523"/>
      <c r="N722" s="523"/>
      <c r="O722" s="523"/>
      <c r="P722" s="523"/>
      <c r="Q722" s="523"/>
      <c r="R722" s="523"/>
      <c r="S722" s="523"/>
      <c r="T722" s="523"/>
      <c r="U722" s="523"/>
      <c r="V722" s="523"/>
      <c r="W722" s="523"/>
      <c r="X722" s="523"/>
      <c r="Y722" s="523"/>
      <c r="Z722" s="523"/>
    </row>
    <row r="723" spans="1:26" ht="15.75" customHeight="1">
      <c r="A723" s="523"/>
      <c r="B723" s="523"/>
      <c r="C723" s="523"/>
      <c r="D723" s="523"/>
      <c r="E723" s="523"/>
      <c r="F723" s="523"/>
      <c r="G723" s="523"/>
      <c r="H723" s="524"/>
      <c r="I723" s="523"/>
      <c r="J723" s="523"/>
      <c r="K723" s="523"/>
      <c r="L723" s="523"/>
      <c r="M723" s="523"/>
      <c r="N723" s="523"/>
      <c r="O723" s="523"/>
      <c r="P723" s="523"/>
      <c r="Q723" s="523"/>
      <c r="R723" s="523"/>
      <c r="S723" s="523"/>
      <c r="T723" s="523"/>
      <c r="U723" s="523"/>
      <c r="V723" s="523"/>
      <c r="W723" s="523"/>
      <c r="X723" s="523"/>
      <c r="Y723" s="523"/>
      <c r="Z723" s="523"/>
    </row>
    <row r="724" spans="1:26" ht="15.75" customHeight="1">
      <c r="A724" s="523"/>
      <c r="B724" s="523"/>
      <c r="C724" s="523"/>
      <c r="D724" s="523"/>
      <c r="E724" s="523"/>
      <c r="F724" s="523"/>
      <c r="G724" s="523"/>
      <c r="H724" s="524"/>
      <c r="I724" s="523"/>
      <c r="J724" s="523"/>
      <c r="K724" s="523"/>
      <c r="L724" s="523"/>
      <c r="M724" s="523"/>
      <c r="N724" s="523"/>
      <c r="O724" s="523"/>
      <c r="P724" s="523"/>
      <c r="Q724" s="523"/>
      <c r="R724" s="523"/>
      <c r="S724" s="523"/>
      <c r="T724" s="523"/>
      <c r="U724" s="523"/>
      <c r="V724" s="523"/>
      <c r="W724" s="523"/>
      <c r="X724" s="523"/>
      <c r="Y724" s="523"/>
      <c r="Z724" s="523"/>
    </row>
    <row r="725" spans="1:26" ht="15.75" customHeight="1">
      <c r="A725" s="523"/>
      <c r="B725" s="523"/>
      <c r="C725" s="523"/>
      <c r="D725" s="523"/>
      <c r="E725" s="523"/>
      <c r="F725" s="523"/>
      <c r="G725" s="523"/>
      <c r="H725" s="524"/>
      <c r="I725" s="523"/>
      <c r="J725" s="523"/>
      <c r="K725" s="523"/>
      <c r="L725" s="523"/>
      <c r="M725" s="523"/>
      <c r="N725" s="523"/>
      <c r="O725" s="523"/>
      <c r="P725" s="523"/>
      <c r="Q725" s="523"/>
      <c r="R725" s="523"/>
      <c r="S725" s="523"/>
      <c r="T725" s="523"/>
      <c r="U725" s="523"/>
      <c r="V725" s="523"/>
      <c r="W725" s="523"/>
      <c r="X725" s="523"/>
      <c r="Y725" s="523"/>
      <c r="Z725" s="523"/>
    </row>
    <row r="726" spans="1:26" ht="15.75" customHeight="1">
      <c r="A726" s="523"/>
      <c r="B726" s="523"/>
      <c r="C726" s="523"/>
      <c r="D726" s="523"/>
      <c r="E726" s="523"/>
      <c r="F726" s="523"/>
      <c r="G726" s="523"/>
      <c r="H726" s="524"/>
      <c r="I726" s="523"/>
      <c r="J726" s="523"/>
      <c r="K726" s="523"/>
      <c r="L726" s="523"/>
      <c r="M726" s="523"/>
      <c r="N726" s="523"/>
      <c r="O726" s="523"/>
      <c r="P726" s="523"/>
      <c r="Q726" s="523"/>
      <c r="R726" s="523"/>
      <c r="S726" s="523"/>
      <c r="T726" s="523"/>
      <c r="U726" s="523"/>
      <c r="V726" s="523"/>
      <c r="W726" s="523"/>
      <c r="X726" s="523"/>
      <c r="Y726" s="523"/>
      <c r="Z726" s="523"/>
    </row>
    <row r="727" spans="1:26" ht="15.75" customHeight="1">
      <c r="A727" s="523"/>
      <c r="B727" s="523"/>
      <c r="C727" s="523"/>
      <c r="D727" s="523"/>
      <c r="E727" s="523"/>
      <c r="F727" s="523"/>
      <c r="G727" s="523"/>
      <c r="H727" s="524"/>
      <c r="I727" s="523"/>
      <c r="J727" s="523"/>
      <c r="K727" s="523"/>
      <c r="L727" s="523"/>
      <c r="M727" s="523"/>
      <c r="N727" s="523"/>
      <c r="O727" s="523"/>
      <c r="P727" s="523"/>
      <c r="Q727" s="523"/>
      <c r="R727" s="523"/>
      <c r="S727" s="523"/>
      <c r="T727" s="523"/>
      <c r="U727" s="523"/>
      <c r="V727" s="523"/>
      <c r="W727" s="523"/>
      <c r="X727" s="523"/>
      <c r="Y727" s="523"/>
      <c r="Z727" s="523"/>
    </row>
    <row r="728" spans="1:26" ht="15.75" customHeight="1">
      <c r="A728" s="523"/>
      <c r="B728" s="523"/>
      <c r="C728" s="523"/>
      <c r="D728" s="523"/>
      <c r="E728" s="523"/>
      <c r="F728" s="523"/>
      <c r="G728" s="523"/>
      <c r="H728" s="524"/>
      <c r="I728" s="523"/>
      <c r="J728" s="523"/>
      <c r="K728" s="523"/>
      <c r="L728" s="523"/>
      <c r="M728" s="523"/>
      <c r="N728" s="523"/>
      <c r="O728" s="523"/>
      <c r="P728" s="523"/>
      <c r="Q728" s="523"/>
      <c r="R728" s="523"/>
      <c r="S728" s="523"/>
      <c r="T728" s="523"/>
      <c r="U728" s="523"/>
      <c r="V728" s="523"/>
      <c r="W728" s="523"/>
      <c r="X728" s="523"/>
      <c r="Y728" s="523"/>
      <c r="Z728" s="523"/>
    </row>
    <row r="729" spans="1:26" ht="15.75" customHeight="1">
      <c r="A729" s="523"/>
      <c r="B729" s="523"/>
      <c r="C729" s="523"/>
      <c r="D729" s="523"/>
      <c r="E729" s="523"/>
      <c r="F729" s="523"/>
      <c r="G729" s="523"/>
      <c r="H729" s="524"/>
      <c r="I729" s="523"/>
      <c r="J729" s="523"/>
      <c r="K729" s="523"/>
      <c r="L729" s="523"/>
      <c r="M729" s="523"/>
      <c r="N729" s="523"/>
      <c r="O729" s="523"/>
      <c r="P729" s="523"/>
      <c r="Q729" s="523"/>
      <c r="R729" s="523"/>
      <c r="S729" s="523"/>
      <c r="T729" s="523"/>
      <c r="U729" s="523"/>
      <c r="V729" s="523"/>
      <c r="W729" s="523"/>
      <c r="X729" s="523"/>
      <c r="Y729" s="523"/>
      <c r="Z729" s="523"/>
    </row>
    <row r="730" spans="1:26" ht="15.75" customHeight="1">
      <c r="A730" s="523"/>
      <c r="B730" s="523"/>
      <c r="C730" s="523"/>
      <c r="D730" s="523"/>
      <c r="E730" s="523"/>
      <c r="F730" s="523"/>
      <c r="G730" s="523"/>
      <c r="H730" s="524"/>
      <c r="I730" s="523"/>
      <c r="J730" s="523"/>
      <c r="K730" s="523"/>
      <c r="L730" s="523"/>
      <c r="M730" s="523"/>
      <c r="N730" s="523"/>
      <c r="O730" s="523"/>
      <c r="P730" s="523"/>
      <c r="Q730" s="523"/>
      <c r="R730" s="523"/>
      <c r="S730" s="523"/>
      <c r="T730" s="523"/>
      <c r="U730" s="523"/>
      <c r="V730" s="523"/>
      <c r="W730" s="523"/>
      <c r="X730" s="523"/>
      <c r="Y730" s="523"/>
      <c r="Z730" s="523"/>
    </row>
    <row r="731" spans="1:26" ht="15.75" customHeight="1">
      <c r="A731" s="523"/>
      <c r="B731" s="523"/>
      <c r="C731" s="523"/>
      <c r="D731" s="523"/>
      <c r="E731" s="523"/>
      <c r="F731" s="523"/>
      <c r="G731" s="523"/>
      <c r="H731" s="524"/>
      <c r="I731" s="523"/>
      <c r="J731" s="523"/>
      <c r="K731" s="523"/>
      <c r="L731" s="523"/>
      <c r="M731" s="523"/>
      <c r="N731" s="523"/>
      <c r="O731" s="523"/>
      <c r="P731" s="523"/>
      <c r="Q731" s="523"/>
      <c r="R731" s="523"/>
      <c r="S731" s="523"/>
      <c r="T731" s="523"/>
      <c r="U731" s="523"/>
      <c r="V731" s="523"/>
      <c r="W731" s="523"/>
      <c r="X731" s="523"/>
      <c r="Y731" s="523"/>
      <c r="Z731" s="523"/>
    </row>
    <row r="732" spans="1:26" ht="15.75" customHeight="1">
      <c r="A732" s="523"/>
      <c r="B732" s="523"/>
      <c r="C732" s="523"/>
      <c r="D732" s="523"/>
      <c r="E732" s="523"/>
      <c r="F732" s="523"/>
      <c r="G732" s="523"/>
      <c r="H732" s="524"/>
      <c r="I732" s="523"/>
      <c r="J732" s="523"/>
      <c r="K732" s="523"/>
      <c r="L732" s="523"/>
      <c r="M732" s="523"/>
      <c r="N732" s="523"/>
      <c r="O732" s="523"/>
      <c r="P732" s="523"/>
      <c r="Q732" s="523"/>
      <c r="R732" s="523"/>
      <c r="S732" s="523"/>
      <c r="T732" s="523"/>
      <c r="U732" s="523"/>
      <c r="V732" s="523"/>
      <c r="W732" s="523"/>
      <c r="X732" s="523"/>
      <c r="Y732" s="523"/>
      <c r="Z732" s="523"/>
    </row>
    <row r="733" spans="1:26" ht="15.75" customHeight="1">
      <c r="A733" s="523"/>
      <c r="B733" s="523"/>
      <c r="C733" s="523"/>
      <c r="D733" s="523"/>
      <c r="E733" s="523"/>
      <c r="F733" s="523"/>
      <c r="G733" s="523"/>
      <c r="H733" s="524"/>
      <c r="I733" s="523"/>
      <c r="J733" s="523"/>
      <c r="K733" s="523"/>
      <c r="L733" s="523"/>
      <c r="M733" s="523"/>
      <c r="N733" s="523"/>
      <c r="O733" s="523"/>
      <c r="P733" s="523"/>
      <c r="Q733" s="523"/>
      <c r="R733" s="523"/>
      <c r="S733" s="523"/>
      <c r="T733" s="523"/>
      <c r="U733" s="523"/>
      <c r="V733" s="523"/>
      <c r="W733" s="523"/>
      <c r="X733" s="523"/>
      <c r="Y733" s="523"/>
      <c r="Z733" s="523"/>
    </row>
    <row r="734" spans="1:26" ht="15.75" customHeight="1">
      <c r="A734" s="523"/>
      <c r="B734" s="523"/>
      <c r="C734" s="523"/>
      <c r="D734" s="523"/>
      <c r="E734" s="523"/>
      <c r="F734" s="523"/>
      <c r="G734" s="523"/>
      <c r="H734" s="524"/>
      <c r="I734" s="523"/>
      <c r="J734" s="523"/>
      <c r="K734" s="523"/>
      <c r="L734" s="523"/>
      <c r="M734" s="523"/>
      <c r="N734" s="523"/>
      <c r="O734" s="523"/>
      <c r="P734" s="523"/>
      <c r="Q734" s="523"/>
      <c r="R734" s="523"/>
      <c r="S734" s="523"/>
      <c r="T734" s="523"/>
      <c r="U734" s="523"/>
      <c r="V734" s="523"/>
      <c r="W734" s="523"/>
      <c r="X734" s="523"/>
      <c r="Y734" s="523"/>
      <c r="Z734" s="523"/>
    </row>
    <row r="735" spans="1:26" ht="15.75" customHeight="1">
      <c r="A735" s="523"/>
      <c r="B735" s="523"/>
      <c r="C735" s="523"/>
      <c r="D735" s="523"/>
      <c r="E735" s="523"/>
      <c r="F735" s="523"/>
      <c r="G735" s="523"/>
      <c r="H735" s="524"/>
      <c r="I735" s="523"/>
      <c r="J735" s="523"/>
      <c r="K735" s="523"/>
      <c r="L735" s="523"/>
      <c r="M735" s="523"/>
      <c r="N735" s="523"/>
      <c r="O735" s="523"/>
      <c r="P735" s="523"/>
      <c r="Q735" s="523"/>
      <c r="R735" s="523"/>
      <c r="S735" s="523"/>
      <c r="T735" s="523"/>
      <c r="U735" s="523"/>
      <c r="V735" s="523"/>
      <c r="W735" s="523"/>
      <c r="X735" s="523"/>
      <c r="Y735" s="523"/>
      <c r="Z735" s="523"/>
    </row>
    <row r="736" spans="1:26" ht="15.75" customHeight="1">
      <c r="A736" s="523"/>
      <c r="B736" s="523"/>
      <c r="C736" s="523"/>
      <c r="D736" s="523"/>
      <c r="E736" s="523"/>
      <c r="F736" s="523"/>
      <c r="G736" s="523"/>
      <c r="H736" s="524"/>
      <c r="I736" s="523"/>
      <c r="J736" s="523"/>
      <c r="K736" s="523"/>
      <c r="L736" s="523"/>
      <c r="M736" s="523"/>
      <c r="N736" s="523"/>
      <c r="O736" s="523"/>
      <c r="P736" s="523"/>
      <c r="Q736" s="523"/>
      <c r="R736" s="523"/>
      <c r="S736" s="523"/>
      <c r="T736" s="523"/>
      <c r="U736" s="523"/>
      <c r="V736" s="523"/>
      <c r="W736" s="523"/>
      <c r="X736" s="523"/>
      <c r="Y736" s="523"/>
      <c r="Z736" s="523"/>
    </row>
    <row r="737" spans="1:26" ht="15.75" customHeight="1">
      <c r="A737" s="523"/>
      <c r="B737" s="523"/>
      <c r="C737" s="523"/>
      <c r="D737" s="523"/>
      <c r="E737" s="523"/>
      <c r="F737" s="523"/>
      <c r="G737" s="523"/>
      <c r="H737" s="524"/>
      <c r="I737" s="523"/>
      <c r="J737" s="523"/>
      <c r="K737" s="523"/>
      <c r="L737" s="523"/>
      <c r="M737" s="523"/>
      <c r="N737" s="523"/>
      <c r="O737" s="523"/>
      <c r="P737" s="523"/>
      <c r="Q737" s="523"/>
      <c r="R737" s="523"/>
      <c r="S737" s="523"/>
      <c r="T737" s="523"/>
      <c r="U737" s="523"/>
      <c r="V737" s="523"/>
      <c r="W737" s="523"/>
      <c r="X737" s="523"/>
      <c r="Y737" s="523"/>
      <c r="Z737" s="523"/>
    </row>
    <row r="738" spans="1:26" ht="15.75" customHeight="1">
      <c r="A738" s="523"/>
      <c r="B738" s="523"/>
      <c r="C738" s="523"/>
      <c r="D738" s="523"/>
      <c r="E738" s="523"/>
      <c r="F738" s="523"/>
      <c r="G738" s="523"/>
      <c r="H738" s="524"/>
      <c r="I738" s="523"/>
      <c r="J738" s="523"/>
      <c r="K738" s="523"/>
      <c r="L738" s="523"/>
      <c r="M738" s="523"/>
      <c r="N738" s="523"/>
      <c r="O738" s="523"/>
      <c r="P738" s="523"/>
      <c r="Q738" s="523"/>
      <c r="R738" s="523"/>
      <c r="S738" s="523"/>
      <c r="T738" s="523"/>
      <c r="U738" s="523"/>
      <c r="V738" s="523"/>
      <c r="W738" s="523"/>
      <c r="X738" s="523"/>
      <c r="Y738" s="523"/>
      <c r="Z738" s="523"/>
    </row>
    <row r="739" spans="1:26" ht="15.75" customHeight="1">
      <c r="A739" s="523"/>
      <c r="B739" s="523"/>
      <c r="C739" s="523"/>
      <c r="D739" s="523"/>
      <c r="E739" s="523"/>
      <c r="F739" s="523"/>
      <c r="G739" s="523"/>
      <c r="H739" s="524"/>
      <c r="I739" s="523"/>
      <c r="J739" s="523"/>
      <c r="K739" s="523"/>
      <c r="L739" s="523"/>
      <c r="M739" s="523"/>
      <c r="N739" s="523"/>
      <c r="O739" s="523"/>
      <c r="P739" s="523"/>
      <c r="Q739" s="523"/>
      <c r="R739" s="523"/>
      <c r="S739" s="523"/>
      <c r="T739" s="523"/>
      <c r="U739" s="523"/>
      <c r="V739" s="523"/>
      <c r="W739" s="523"/>
      <c r="X739" s="523"/>
      <c r="Y739" s="523"/>
      <c r="Z739" s="523"/>
    </row>
    <row r="740" spans="1:26" ht="15.75" customHeight="1">
      <c r="A740" s="523"/>
      <c r="B740" s="523"/>
      <c r="C740" s="523"/>
      <c r="D740" s="523"/>
      <c r="E740" s="523"/>
      <c r="F740" s="523"/>
      <c r="G740" s="523"/>
      <c r="H740" s="524"/>
      <c r="I740" s="523"/>
      <c r="J740" s="523"/>
      <c r="K740" s="523"/>
      <c r="L740" s="523"/>
      <c r="M740" s="523"/>
      <c r="N740" s="523"/>
      <c r="O740" s="523"/>
      <c r="P740" s="523"/>
      <c r="Q740" s="523"/>
      <c r="R740" s="523"/>
      <c r="S740" s="523"/>
      <c r="T740" s="523"/>
      <c r="U740" s="523"/>
      <c r="V740" s="523"/>
      <c r="W740" s="523"/>
      <c r="X740" s="523"/>
      <c r="Y740" s="523"/>
      <c r="Z740" s="523"/>
    </row>
    <row r="741" spans="1:26" ht="15.75" customHeight="1">
      <c r="A741" s="523"/>
      <c r="B741" s="523"/>
      <c r="C741" s="523"/>
      <c r="D741" s="523"/>
      <c r="E741" s="523"/>
      <c r="F741" s="523"/>
      <c r="G741" s="523"/>
      <c r="H741" s="524"/>
      <c r="I741" s="523"/>
      <c r="J741" s="523"/>
      <c r="K741" s="523"/>
      <c r="L741" s="523"/>
      <c r="M741" s="523"/>
      <c r="N741" s="523"/>
      <c r="O741" s="523"/>
      <c r="P741" s="523"/>
      <c r="Q741" s="523"/>
      <c r="R741" s="523"/>
      <c r="S741" s="523"/>
      <c r="T741" s="523"/>
      <c r="U741" s="523"/>
      <c r="V741" s="523"/>
      <c r="W741" s="523"/>
      <c r="X741" s="523"/>
      <c r="Y741" s="523"/>
      <c r="Z741" s="523"/>
    </row>
    <row r="742" spans="1:26" ht="15.75" customHeight="1">
      <c r="A742" s="523"/>
      <c r="B742" s="523"/>
      <c r="C742" s="523"/>
      <c r="D742" s="523"/>
      <c r="E742" s="523"/>
      <c r="F742" s="523"/>
      <c r="G742" s="523"/>
      <c r="H742" s="524"/>
      <c r="I742" s="523"/>
      <c r="J742" s="523"/>
      <c r="K742" s="523"/>
      <c r="L742" s="523"/>
      <c r="M742" s="523"/>
      <c r="N742" s="523"/>
      <c r="O742" s="523"/>
      <c r="P742" s="523"/>
      <c r="Q742" s="523"/>
      <c r="R742" s="523"/>
      <c r="S742" s="523"/>
      <c r="T742" s="523"/>
      <c r="U742" s="523"/>
      <c r="V742" s="523"/>
      <c r="W742" s="523"/>
      <c r="X742" s="523"/>
      <c r="Y742" s="523"/>
      <c r="Z742" s="523"/>
    </row>
    <row r="743" spans="1:26" ht="15.75" customHeight="1">
      <c r="A743" s="523"/>
      <c r="B743" s="523"/>
      <c r="C743" s="523"/>
      <c r="D743" s="523"/>
      <c r="E743" s="523"/>
      <c r="F743" s="523"/>
      <c r="G743" s="523"/>
      <c r="H743" s="524"/>
      <c r="I743" s="523"/>
      <c r="J743" s="523"/>
      <c r="K743" s="523"/>
      <c r="L743" s="523"/>
      <c r="M743" s="523"/>
      <c r="N743" s="523"/>
      <c r="O743" s="523"/>
      <c r="P743" s="523"/>
      <c r="Q743" s="523"/>
      <c r="R743" s="523"/>
      <c r="S743" s="523"/>
      <c r="T743" s="523"/>
      <c r="U743" s="523"/>
      <c r="V743" s="523"/>
      <c r="W743" s="523"/>
      <c r="X743" s="523"/>
      <c r="Y743" s="523"/>
      <c r="Z743" s="523"/>
    </row>
    <row r="744" spans="1:26" ht="15.75" customHeight="1">
      <c r="A744" s="523"/>
      <c r="B744" s="523"/>
      <c r="C744" s="523"/>
      <c r="D744" s="523"/>
      <c r="E744" s="523"/>
      <c r="F744" s="523"/>
      <c r="G744" s="523"/>
      <c r="H744" s="524"/>
      <c r="I744" s="523"/>
      <c r="J744" s="523"/>
      <c r="K744" s="523"/>
      <c r="L744" s="523"/>
      <c r="M744" s="523"/>
      <c r="N744" s="523"/>
      <c r="O744" s="523"/>
      <c r="P744" s="523"/>
      <c r="Q744" s="523"/>
      <c r="R744" s="523"/>
      <c r="S744" s="523"/>
      <c r="T744" s="523"/>
      <c r="U744" s="523"/>
      <c r="V744" s="523"/>
      <c r="W744" s="523"/>
      <c r="X744" s="523"/>
      <c r="Y744" s="523"/>
      <c r="Z744" s="523"/>
    </row>
    <row r="745" spans="1:26" ht="15.75" customHeight="1">
      <c r="A745" s="523"/>
      <c r="B745" s="523"/>
      <c r="C745" s="523"/>
      <c r="D745" s="523"/>
      <c r="E745" s="523"/>
      <c r="F745" s="523"/>
      <c r="G745" s="523"/>
      <c r="H745" s="524"/>
      <c r="I745" s="523"/>
      <c r="J745" s="523"/>
      <c r="K745" s="523"/>
      <c r="L745" s="523"/>
      <c r="M745" s="523"/>
      <c r="N745" s="523"/>
      <c r="O745" s="523"/>
      <c r="P745" s="523"/>
      <c r="Q745" s="523"/>
      <c r="R745" s="523"/>
      <c r="S745" s="523"/>
      <c r="T745" s="523"/>
      <c r="U745" s="523"/>
      <c r="V745" s="523"/>
      <c r="W745" s="523"/>
      <c r="X745" s="523"/>
      <c r="Y745" s="523"/>
      <c r="Z745" s="523"/>
    </row>
    <row r="746" spans="1:26" ht="15.75" customHeight="1">
      <c r="A746" s="523"/>
      <c r="B746" s="523"/>
      <c r="C746" s="523"/>
      <c r="D746" s="523"/>
      <c r="E746" s="523"/>
      <c r="F746" s="523"/>
      <c r="G746" s="523"/>
      <c r="H746" s="524"/>
      <c r="I746" s="523"/>
      <c r="J746" s="523"/>
      <c r="K746" s="523"/>
      <c r="L746" s="523"/>
      <c r="M746" s="523"/>
      <c r="N746" s="523"/>
      <c r="O746" s="523"/>
      <c r="P746" s="523"/>
      <c r="Q746" s="523"/>
      <c r="R746" s="523"/>
      <c r="S746" s="523"/>
      <c r="T746" s="523"/>
      <c r="U746" s="523"/>
      <c r="V746" s="523"/>
      <c r="W746" s="523"/>
      <c r="X746" s="523"/>
      <c r="Y746" s="523"/>
      <c r="Z746" s="523"/>
    </row>
    <row r="747" spans="1:26" ht="15.75" customHeight="1">
      <c r="A747" s="523"/>
      <c r="B747" s="523"/>
      <c r="C747" s="523"/>
      <c r="D747" s="523"/>
      <c r="E747" s="523"/>
      <c r="F747" s="523"/>
      <c r="G747" s="523"/>
      <c r="H747" s="524"/>
      <c r="I747" s="523"/>
      <c r="J747" s="523"/>
      <c r="K747" s="523"/>
      <c r="L747" s="523"/>
      <c r="M747" s="523"/>
      <c r="N747" s="523"/>
      <c r="O747" s="523"/>
      <c r="P747" s="523"/>
      <c r="Q747" s="523"/>
      <c r="R747" s="523"/>
      <c r="S747" s="523"/>
      <c r="T747" s="523"/>
      <c r="U747" s="523"/>
      <c r="V747" s="523"/>
      <c r="W747" s="523"/>
      <c r="X747" s="523"/>
      <c r="Y747" s="523"/>
      <c r="Z747" s="523"/>
    </row>
    <row r="748" spans="1:26" ht="15.75" customHeight="1">
      <c r="A748" s="523"/>
      <c r="B748" s="523"/>
      <c r="C748" s="523"/>
      <c r="D748" s="523"/>
      <c r="E748" s="523"/>
      <c r="F748" s="523"/>
      <c r="G748" s="523"/>
      <c r="H748" s="524"/>
      <c r="I748" s="523"/>
      <c r="J748" s="523"/>
      <c r="K748" s="523"/>
      <c r="L748" s="523"/>
      <c r="M748" s="523"/>
      <c r="N748" s="523"/>
      <c r="O748" s="523"/>
      <c r="P748" s="523"/>
      <c r="Q748" s="523"/>
      <c r="R748" s="523"/>
      <c r="S748" s="523"/>
      <c r="T748" s="523"/>
      <c r="U748" s="523"/>
      <c r="V748" s="523"/>
      <c r="W748" s="523"/>
      <c r="X748" s="523"/>
      <c r="Y748" s="523"/>
      <c r="Z748" s="523"/>
    </row>
    <row r="749" spans="1:26" ht="15.75" customHeight="1">
      <c r="A749" s="523"/>
      <c r="B749" s="523"/>
      <c r="C749" s="523"/>
      <c r="D749" s="523"/>
      <c r="E749" s="523"/>
      <c r="F749" s="523"/>
      <c r="G749" s="523"/>
      <c r="H749" s="524"/>
      <c r="I749" s="523"/>
      <c r="J749" s="523"/>
      <c r="K749" s="523"/>
      <c r="L749" s="523"/>
      <c r="M749" s="523"/>
      <c r="N749" s="523"/>
      <c r="O749" s="523"/>
      <c r="P749" s="523"/>
      <c r="Q749" s="523"/>
      <c r="R749" s="523"/>
      <c r="S749" s="523"/>
      <c r="T749" s="523"/>
      <c r="U749" s="523"/>
      <c r="V749" s="523"/>
      <c r="W749" s="523"/>
      <c r="X749" s="523"/>
      <c r="Y749" s="523"/>
      <c r="Z749" s="523"/>
    </row>
    <row r="750" spans="1:26" ht="15.75" customHeight="1">
      <c r="A750" s="523"/>
      <c r="B750" s="523"/>
      <c r="C750" s="523"/>
      <c r="D750" s="523"/>
      <c r="E750" s="523"/>
      <c r="F750" s="523"/>
      <c r="G750" s="523"/>
      <c r="H750" s="524"/>
      <c r="I750" s="523"/>
      <c r="J750" s="523"/>
      <c r="K750" s="523"/>
      <c r="L750" s="523"/>
      <c r="M750" s="523"/>
      <c r="N750" s="523"/>
      <c r="O750" s="523"/>
      <c r="P750" s="523"/>
      <c r="Q750" s="523"/>
      <c r="R750" s="523"/>
      <c r="S750" s="523"/>
      <c r="T750" s="523"/>
      <c r="U750" s="523"/>
      <c r="V750" s="523"/>
      <c r="W750" s="523"/>
      <c r="X750" s="523"/>
      <c r="Y750" s="523"/>
      <c r="Z750" s="523"/>
    </row>
    <row r="751" spans="1:26" ht="15.75" customHeight="1">
      <c r="A751" s="523"/>
      <c r="B751" s="523"/>
      <c r="C751" s="523"/>
      <c r="D751" s="523"/>
      <c r="E751" s="523"/>
      <c r="F751" s="523"/>
      <c r="G751" s="523"/>
      <c r="H751" s="524"/>
      <c r="I751" s="523"/>
      <c r="J751" s="523"/>
      <c r="K751" s="523"/>
      <c r="L751" s="523"/>
      <c r="M751" s="523"/>
      <c r="N751" s="523"/>
      <c r="O751" s="523"/>
      <c r="P751" s="523"/>
      <c r="Q751" s="523"/>
      <c r="R751" s="523"/>
      <c r="S751" s="523"/>
      <c r="T751" s="523"/>
      <c r="U751" s="523"/>
      <c r="V751" s="523"/>
      <c r="W751" s="523"/>
      <c r="X751" s="523"/>
      <c r="Y751" s="523"/>
      <c r="Z751" s="523"/>
    </row>
    <row r="752" spans="1:26" ht="15.75" customHeight="1">
      <c r="A752" s="523"/>
      <c r="B752" s="523"/>
      <c r="C752" s="523"/>
      <c r="D752" s="523"/>
      <c r="E752" s="523"/>
      <c r="F752" s="523"/>
      <c r="G752" s="523"/>
      <c r="H752" s="524"/>
      <c r="I752" s="523"/>
      <c r="J752" s="523"/>
      <c r="K752" s="523"/>
      <c r="L752" s="523"/>
      <c r="M752" s="523"/>
      <c r="N752" s="523"/>
      <c r="O752" s="523"/>
      <c r="P752" s="523"/>
      <c r="Q752" s="523"/>
      <c r="R752" s="523"/>
      <c r="S752" s="523"/>
      <c r="T752" s="523"/>
      <c r="U752" s="523"/>
      <c r="V752" s="523"/>
      <c r="W752" s="523"/>
      <c r="X752" s="523"/>
      <c r="Y752" s="523"/>
      <c r="Z752" s="523"/>
    </row>
    <row r="753" spans="1:26" ht="15.75" customHeight="1">
      <c r="A753" s="523"/>
      <c r="B753" s="523"/>
      <c r="C753" s="523"/>
      <c r="D753" s="523"/>
      <c r="E753" s="523"/>
      <c r="F753" s="523"/>
      <c r="G753" s="523"/>
      <c r="H753" s="524"/>
      <c r="I753" s="523"/>
      <c r="J753" s="523"/>
      <c r="K753" s="523"/>
      <c r="L753" s="523"/>
      <c r="M753" s="523"/>
      <c r="N753" s="523"/>
      <c r="O753" s="523"/>
      <c r="P753" s="523"/>
      <c r="Q753" s="523"/>
      <c r="R753" s="523"/>
      <c r="S753" s="523"/>
      <c r="T753" s="523"/>
      <c r="U753" s="523"/>
      <c r="V753" s="523"/>
      <c r="W753" s="523"/>
      <c r="X753" s="523"/>
      <c r="Y753" s="523"/>
      <c r="Z753" s="523"/>
    </row>
    <row r="754" spans="1:26" ht="15.75" customHeight="1">
      <c r="A754" s="523"/>
      <c r="B754" s="523"/>
      <c r="C754" s="523"/>
      <c r="D754" s="523"/>
      <c r="E754" s="523"/>
      <c r="F754" s="523"/>
      <c r="G754" s="523"/>
      <c r="H754" s="524"/>
      <c r="I754" s="523"/>
      <c r="J754" s="523"/>
      <c r="K754" s="523"/>
      <c r="L754" s="523"/>
      <c r="M754" s="523"/>
      <c r="N754" s="523"/>
      <c r="O754" s="523"/>
      <c r="P754" s="523"/>
      <c r="Q754" s="523"/>
      <c r="R754" s="523"/>
      <c r="S754" s="523"/>
      <c r="T754" s="523"/>
      <c r="U754" s="523"/>
      <c r="V754" s="523"/>
      <c r="W754" s="523"/>
      <c r="X754" s="523"/>
      <c r="Y754" s="523"/>
      <c r="Z754" s="523"/>
    </row>
    <row r="755" spans="1:26" ht="15.75" customHeight="1">
      <c r="A755" s="523"/>
      <c r="B755" s="523"/>
      <c r="C755" s="523"/>
      <c r="D755" s="523"/>
      <c r="E755" s="523"/>
      <c r="F755" s="523"/>
      <c r="G755" s="523"/>
      <c r="H755" s="524"/>
      <c r="I755" s="523"/>
      <c r="J755" s="523"/>
      <c r="K755" s="523"/>
      <c r="L755" s="523"/>
      <c r="M755" s="523"/>
      <c r="N755" s="523"/>
      <c r="O755" s="523"/>
      <c r="P755" s="523"/>
      <c r="Q755" s="523"/>
      <c r="R755" s="523"/>
      <c r="S755" s="523"/>
      <c r="T755" s="523"/>
      <c r="U755" s="523"/>
      <c r="V755" s="523"/>
      <c r="W755" s="523"/>
      <c r="X755" s="523"/>
      <c r="Y755" s="523"/>
      <c r="Z755" s="523"/>
    </row>
    <row r="756" spans="1:26" ht="15.75" customHeight="1">
      <c r="A756" s="523"/>
      <c r="B756" s="523"/>
      <c r="C756" s="523"/>
      <c r="D756" s="523"/>
      <c r="E756" s="523"/>
      <c r="F756" s="523"/>
      <c r="G756" s="523"/>
      <c r="H756" s="524"/>
      <c r="I756" s="523"/>
      <c r="J756" s="523"/>
      <c r="K756" s="523"/>
      <c r="L756" s="523"/>
      <c r="M756" s="523"/>
      <c r="N756" s="523"/>
      <c r="O756" s="523"/>
      <c r="P756" s="523"/>
      <c r="Q756" s="523"/>
      <c r="R756" s="523"/>
      <c r="S756" s="523"/>
      <c r="T756" s="523"/>
      <c r="U756" s="523"/>
      <c r="V756" s="523"/>
      <c r="W756" s="523"/>
      <c r="X756" s="523"/>
      <c r="Y756" s="523"/>
      <c r="Z756" s="523"/>
    </row>
    <row r="757" spans="1:26" ht="15.75" customHeight="1">
      <c r="A757" s="523"/>
      <c r="B757" s="523"/>
      <c r="C757" s="523"/>
      <c r="D757" s="523"/>
      <c r="E757" s="523"/>
      <c r="F757" s="523"/>
      <c r="G757" s="523"/>
      <c r="H757" s="524"/>
      <c r="I757" s="523"/>
      <c r="J757" s="523"/>
      <c r="K757" s="523"/>
      <c r="L757" s="523"/>
      <c r="M757" s="523"/>
      <c r="N757" s="523"/>
      <c r="O757" s="523"/>
      <c r="P757" s="523"/>
      <c r="Q757" s="523"/>
      <c r="R757" s="523"/>
      <c r="S757" s="523"/>
      <c r="T757" s="523"/>
      <c r="U757" s="523"/>
      <c r="V757" s="523"/>
      <c r="W757" s="523"/>
      <c r="X757" s="523"/>
      <c r="Y757" s="523"/>
      <c r="Z757" s="523"/>
    </row>
    <row r="758" spans="1:26" ht="15.75" customHeight="1">
      <c r="A758" s="523"/>
      <c r="B758" s="523"/>
      <c r="C758" s="523"/>
      <c r="D758" s="523"/>
      <c r="E758" s="523"/>
      <c r="F758" s="523"/>
      <c r="G758" s="523"/>
      <c r="H758" s="524"/>
      <c r="I758" s="523"/>
      <c r="J758" s="523"/>
      <c r="K758" s="523"/>
      <c r="L758" s="523"/>
      <c r="M758" s="523"/>
      <c r="N758" s="523"/>
      <c r="O758" s="523"/>
      <c r="P758" s="523"/>
      <c r="Q758" s="523"/>
      <c r="R758" s="523"/>
      <c r="S758" s="523"/>
      <c r="T758" s="523"/>
      <c r="U758" s="523"/>
      <c r="V758" s="523"/>
      <c r="W758" s="523"/>
      <c r="X758" s="523"/>
      <c r="Y758" s="523"/>
      <c r="Z758" s="523"/>
    </row>
    <row r="759" spans="1:26" ht="15.75" customHeight="1">
      <c r="A759" s="523"/>
      <c r="B759" s="523"/>
      <c r="C759" s="523"/>
      <c r="D759" s="523"/>
      <c r="E759" s="523"/>
      <c r="F759" s="523"/>
      <c r="G759" s="523"/>
      <c r="H759" s="524"/>
      <c r="I759" s="523"/>
      <c r="J759" s="523"/>
      <c r="K759" s="523"/>
      <c r="L759" s="523"/>
      <c r="M759" s="523"/>
      <c r="N759" s="523"/>
      <c r="O759" s="523"/>
      <c r="P759" s="523"/>
      <c r="Q759" s="523"/>
      <c r="R759" s="523"/>
      <c r="S759" s="523"/>
      <c r="T759" s="523"/>
      <c r="U759" s="523"/>
      <c r="V759" s="523"/>
      <c r="W759" s="523"/>
      <c r="X759" s="523"/>
      <c r="Y759" s="523"/>
      <c r="Z759" s="523"/>
    </row>
    <row r="760" spans="1:26" ht="15.75" customHeight="1">
      <c r="A760" s="523"/>
      <c r="B760" s="523"/>
      <c r="C760" s="523"/>
      <c r="D760" s="523"/>
      <c r="E760" s="523"/>
      <c r="F760" s="523"/>
      <c r="G760" s="523"/>
      <c r="H760" s="524"/>
      <c r="I760" s="523"/>
      <c r="J760" s="523"/>
      <c r="K760" s="523"/>
      <c r="L760" s="523"/>
      <c r="M760" s="523"/>
      <c r="N760" s="523"/>
      <c r="O760" s="523"/>
      <c r="P760" s="523"/>
      <c r="Q760" s="523"/>
      <c r="R760" s="523"/>
      <c r="S760" s="523"/>
      <c r="T760" s="523"/>
      <c r="U760" s="523"/>
      <c r="V760" s="523"/>
      <c r="W760" s="523"/>
      <c r="X760" s="523"/>
      <c r="Y760" s="523"/>
      <c r="Z760" s="523"/>
    </row>
    <row r="761" spans="1:26" ht="15.75" customHeight="1">
      <c r="A761" s="523"/>
      <c r="B761" s="523"/>
      <c r="C761" s="523"/>
      <c r="D761" s="523"/>
      <c r="E761" s="523"/>
      <c r="F761" s="523"/>
      <c r="G761" s="523"/>
      <c r="H761" s="524"/>
      <c r="I761" s="523"/>
      <c r="J761" s="523"/>
      <c r="K761" s="523"/>
      <c r="L761" s="523"/>
      <c r="M761" s="523"/>
      <c r="N761" s="523"/>
      <c r="O761" s="523"/>
      <c r="P761" s="523"/>
      <c r="Q761" s="523"/>
      <c r="R761" s="523"/>
      <c r="S761" s="523"/>
      <c r="T761" s="523"/>
      <c r="U761" s="523"/>
      <c r="V761" s="523"/>
      <c r="W761" s="523"/>
      <c r="X761" s="523"/>
      <c r="Y761" s="523"/>
      <c r="Z761" s="523"/>
    </row>
    <row r="762" spans="1:26" ht="15.75" customHeight="1">
      <c r="A762" s="523"/>
      <c r="B762" s="523"/>
      <c r="C762" s="523"/>
      <c r="D762" s="523"/>
      <c r="E762" s="523"/>
      <c r="F762" s="523"/>
      <c r="G762" s="523"/>
      <c r="H762" s="524"/>
      <c r="I762" s="523"/>
      <c r="J762" s="523"/>
      <c r="K762" s="523"/>
      <c r="L762" s="523"/>
      <c r="M762" s="523"/>
      <c r="N762" s="523"/>
      <c r="O762" s="523"/>
      <c r="P762" s="523"/>
      <c r="Q762" s="523"/>
      <c r="R762" s="523"/>
      <c r="S762" s="523"/>
      <c r="T762" s="523"/>
      <c r="U762" s="523"/>
      <c r="V762" s="523"/>
      <c r="W762" s="523"/>
      <c r="X762" s="523"/>
      <c r="Y762" s="523"/>
      <c r="Z762" s="523"/>
    </row>
    <row r="763" spans="1:26" ht="15.75" customHeight="1">
      <c r="A763" s="523"/>
      <c r="B763" s="523"/>
      <c r="C763" s="523"/>
      <c r="D763" s="523"/>
      <c r="E763" s="523"/>
      <c r="F763" s="523"/>
      <c r="G763" s="523"/>
      <c r="H763" s="524"/>
      <c r="I763" s="523"/>
      <c r="J763" s="523"/>
      <c r="K763" s="523"/>
      <c r="L763" s="523"/>
      <c r="M763" s="523"/>
      <c r="N763" s="523"/>
      <c r="O763" s="523"/>
      <c r="P763" s="523"/>
      <c r="Q763" s="523"/>
      <c r="R763" s="523"/>
      <c r="S763" s="523"/>
      <c r="T763" s="523"/>
      <c r="U763" s="523"/>
      <c r="V763" s="523"/>
      <c r="W763" s="523"/>
      <c r="X763" s="523"/>
      <c r="Y763" s="523"/>
      <c r="Z763" s="523"/>
    </row>
    <row r="764" spans="1:26" ht="15.75" customHeight="1">
      <c r="A764" s="523"/>
      <c r="B764" s="523"/>
      <c r="C764" s="523"/>
      <c r="D764" s="523"/>
      <c r="E764" s="523"/>
      <c r="F764" s="523"/>
      <c r="G764" s="523"/>
      <c r="H764" s="524"/>
      <c r="I764" s="523"/>
      <c r="J764" s="523"/>
      <c r="K764" s="523"/>
      <c r="L764" s="523"/>
      <c r="M764" s="523"/>
      <c r="N764" s="523"/>
      <c r="O764" s="523"/>
      <c r="P764" s="523"/>
      <c r="Q764" s="523"/>
      <c r="R764" s="523"/>
      <c r="S764" s="523"/>
      <c r="T764" s="523"/>
      <c r="U764" s="523"/>
      <c r="V764" s="523"/>
      <c r="W764" s="523"/>
      <c r="X764" s="523"/>
      <c r="Y764" s="523"/>
      <c r="Z764" s="523"/>
    </row>
    <row r="765" spans="1:26" ht="15.75" customHeight="1">
      <c r="A765" s="523"/>
      <c r="B765" s="523"/>
      <c r="C765" s="523"/>
      <c r="D765" s="523"/>
      <c r="E765" s="523"/>
      <c r="F765" s="523"/>
      <c r="G765" s="523"/>
      <c r="H765" s="524"/>
      <c r="I765" s="523"/>
      <c r="J765" s="523"/>
      <c r="K765" s="523"/>
      <c r="L765" s="523"/>
      <c r="M765" s="523"/>
      <c r="N765" s="523"/>
      <c r="O765" s="523"/>
      <c r="P765" s="523"/>
      <c r="Q765" s="523"/>
      <c r="R765" s="523"/>
      <c r="S765" s="523"/>
      <c r="T765" s="523"/>
      <c r="U765" s="523"/>
      <c r="V765" s="523"/>
      <c r="W765" s="523"/>
      <c r="X765" s="523"/>
      <c r="Y765" s="523"/>
      <c r="Z765" s="523"/>
    </row>
    <row r="766" spans="1:26" ht="15.75" customHeight="1">
      <c r="A766" s="523"/>
      <c r="B766" s="523"/>
      <c r="C766" s="523"/>
      <c r="D766" s="523"/>
      <c r="E766" s="523"/>
      <c r="F766" s="523"/>
      <c r="G766" s="523"/>
      <c r="H766" s="524"/>
      <c r="I766" s="523"/>
      <c r="J766" s="523"/>
      <c r="K766" s="523"/>
      <c r="L766" s="523"/>
      <c r="M766" s="523"/>
      <c r="N766" s="523"/>
      <c r="O766" s="523"/>
      <c r="P766" s="523"/>
      <c r="Q766" s="523"/>
      <c r="R766" s="523"/>
      <c r="S766" s="523"/>
      <c r="T766" s="523"/>
      <c r="U766" s="523"/>
      <c r="V766" s="523"/>
      <c r="W766" s="523"/>
      <c r="X766" s="523"/>
      <c r="Y766" s="523"/>
      <c r="Z766" s="523"/>
    </row>
    <row r="767" spans="1:26" ht="15.75" customHeight="1">
      <c r="A767" s="523"/>
      <c r="B767" s="523"/>
      <c r="C767" s="523"/>
      <c r="D767" s="523"/>
      <c r="E767" s="523"/>
      <c r="F767" s="523"/>
      <c r="G767" s="523"/>
      <c r="H767" s="524"/>
      <c r="I767" s="523"/>
      <c r="J767" s="523"/>
      <c r="K767" s="523"/>
      <c r="L767" s="523"/>
      <c r="M767" s="523"/>
      <c r="N767" s="523"/>
      <c r="O767" s="523"/>
      <c r="P767" s="523"/>
      <c r="Q767" s="523"/>
      <c r="R767" s="523"/>
      <c r="S767" s="523"/>
      <c r="T767" s="523"/>
      <c r="U767" s="523"/>
      <c r="V767" s="523"/>
      <c r="W767" s="523"/>
      <c r="X767" s="523"/>
      <c r="Y767" s="523"/>
      <c r="Z767" s="523"/>
    </row>
    <row r="768" spans="1:26" ht="15.75" customHeight="1">
      <c r="A768" s="523"/>
      <c r="B768" s="523"/>
      <c r="C768" s="523"/>
      <c r="D768" s="523"/>
      <c r="E768" s="523"/>
      <c r="F768" s="523"/>
      <c r="G768" s="523"/>
      <c r="H768" s="524"/>
      <c r="I768" s="523"/>
      <c r="J768" s="523"/>
      <c r="K768" s="523"/>
      <c r="L768" s="523"/>
      <c r="M768" s="523"/>
      <c r="N768" s="523"/>
      <c r="O768" s="523"/>
      <c r="P768" s="523"/>
      <c r="Q768" s="523"/>
      <c r="R768" s="523"/>
      <c r="S768" s="523"/>
      <c r="T768" s="523"/>
      <c r="U768" s="523"/>
      <c r="V768" s="523"/>
      <c r="W768" s="523"/>
      <c r="X768" s="523"/>
      <c r="Y768" s="523"/>
      <c r="Z768" s="523"/>
    </row>
    <row r="769" spans="1:26" ht="15.75" customHeight="1">
      <c r="A769" s="523"/>
      <c r="B769" s="523"/>
      <c r="C769" s="523"/>
      <c r="D769" s="523"/>
      <c r="E769" s="523"/>
      <c r="F769" s="523"/>
      <c r="G769" s="523"/>
      <c r="H769" s="524"/>
      <c r="I769" s="523"/>
      <c r="J769" s="523"/>
      <c r="K769" s="523"/>
      <c r="L769" s="523"/>
      <c r="M769" s="523"/>
      <c r="N769" s="523"/>
      <c r="O769" s="523"/>
      <c r="P769" s="523"/>
      <c r="Q769" s="523"/>
      <c r="R769" s="523"/>
      <c r="S769" s="523"/>
      <c r="T769" s="523"/>
      <c r="U769" s="523"/>
      <c r="V769" s="523"/>
      <c r="W769" s="523"/>
      <c r="X769" s="523"/>
      <c r="Y769" s="523"/>
      <c r="Z769" s="523"/>
    </row>
    <row r="770" spans="1:26" ht="15.75" customHeight="1">
      <c r="A770" s="523"/>
      <c r="B770" s="523"/>
      <c r="C770" s="523"/>
      <c r="D770" s="523"/>
      <c r="E770" s="523"/>
      <c r="F770" s="523"/>
      <c r="G770" s="523"/>
      <c r="H770" s="524"/>
      <c r="I770" s="523"/>
      <c r="J770" s="523"/>
      <c r="K770" s="523"/>
      <c r="L770" s="523"/>
      <c r="M770" s="523"/>
      <c r="N770" s="523"/>
      <c r="O770" s="523"/>
      <c r="P770" s="523"/>
      <c r="Q770" s="523"/>
      <c r="R770" s="523"/>
      <c r="S770" s="523"/>
      <c r="T770" s="523"/>
      <c r="U770" s="523"/>
      <c r="V770" s="523"/>
      <c r="W770" s="523"/>
      <c r="X770" s="523"/>
      <c r="Y770" s="523"/>
      <c r="Z770" s="523"/>
    </row>
    <row r="771" spans="1:26" ht="15.75" customHeight="1">
      <c r="A771" s="523"/>
      <c r="B771" s="523"/>
      <c r="C771" s="523"/>
      <c r="D771" s="523"/>
      <c r="E771" s="523"/>
      <c r="F771" s="523"/>
      <c r="G771" s="523"/>
      <c r="H771" s="524"/>
      <c r="I771" s="523"/>
      <c r="J771" s="523"/>
      <c r="K771" s="523"/>
      <c r="L771" s="523"/>
      <c r="M771" s="523"/>
      <c r="N771" s="523"/>
      <c r="O771" s="523"/>
      <c r="P771" s="523"/>
      <c r="Q771" s="523"/>
      <c r="R771" s="523"/>
      <c r="S771" s="523"/>
      <c r="T771" s="523"/>
      <c r="U771" s="523"/>
      <c r="V771" s="523"/>
      <c r="W771" s="523"/>
      <c r="X771" s="523"/>
      <c r="Y771" s="523"/>
      <c r="Z771" s="523"/>
    </row>
    <row r="772" spans="1:26" ht="15.75" customHeight="1">
      <c r="A772" s="523"/>
      <c r="B772" s="523"/>
      <c r="C772" s="523"/>
      <c r="D772" s="523"/>
      <c r="E772" s="523"/>
      <c r="F772" s="523"/>
      <c r="G772" s="523"/>
      <c r="H772" s="524"/>
      <c r="I772" s="523"/>
      <c r="J772" s="523"/>
      <c r="K772" s="523"/>
      <c r="L772" s="523"/>
      <c r="M772" s="523"/>
      <c r="N772" s="523"/>
      <c r="O772" s="523"/>
      <c r="P772" s="523"/>
      <c r="Q772" s="523"/>
      <c r="R772" s="523"/>
      <c r="S772" s="523"/>
      <c r="T772" s="523"/>
      <c r="U772" s="523"/>
      <c r="V772" s="523"/>
      <c r="W772" s="523"/>
      <c r="X772" s="523"/>
      <c r="Y772" s="523"/>
      <c r="Z772" s="523"/>
    </row>
    <row r="773" spans="1:26" ht="15.75" customHeight="1">
      <c r="A773" s="523"/>
      <c r="B773" s="523"/>
      <c r="C773" s="523"/>
      <c r="D773" s="523"/>
      <c r="E773" s="523"/>
      <c r="F773" s="523"/>
      <c r="G773" s="523"/>
      <c r="H773" s="524"/>
      <c r="I773" s="523"/>
      <c r="J773" s="523"/>
      <c r="K773" s="523"/>
      <c r="L773" s="523"/>
      <c r="M773" s="523"/>
      <c r="N773" s="523"/>
      <c r="O773" s="523"/>
      <c r="P773" s="523"/>
      <c r="Q773" s="523"/>
      <c r="R773" s="523"/>
      <c r="S773" s="523"/>
      <c r="T773" s="523"/>
      <c r="U773" s="523"/>
      <c r="V773" s="523"/>
      <c r="W773" s="523"/>
      <c r="X773" s="523"/>
      <c r="Y773" s="523"/>
      <c r="Z773" s="523"/>
    </row>
    <row r="774" spans="1:26" ht="15.75" customHeight="1">
      <c r="A774" s="523"/>
      <c r="B774" s="523"/>
      <c r="C774" s="523"/>
      <c r="D774" s="523"/>
      <c r="E774" s="523"/>
      <c r="F774" s="523"/>
      <c r="G774" s="523"/>
      <c r="H774" s="524"/>
      <c r="I774" s="523"/>
      <c r="J774" s="523"/>
      <c r="K774" s="523"/>
      <c r="L774" s="523"/>
      <c r="M774" s="523"/>
      <c r="N774" s="523"/>
      <c r="O774" s="523"/>
      <c r="P774" s="523"/>
      <c r="Q774" s="523"/>
      <c r="R774" s="523"/>
      <c r="S774" s="523"/>
      <c r="T774" s="523"/>
      <c r="U774" s="523"/>
      <c r="V774" s="523"/>
      <c r="W774" s="523"/>
      <c r="X774" s="523"/>
      <c r="Y774" s="523"/>
      <c r="Z774" s="523"/>
    </row>
    <row r="775" spans="1:26" ht="15.75" customHeight="1">
      <c r="A775" s="523"/>
      <c r="B775" s="523"/>
      <c r="C775" s="523"/>
      <c r="D775" s="523"/>
      <c r="E775" s="523"/>
      <c r="F775" s="523"/>
      <c r="G775" s="523"/>
      <c r="H775" s="524"/>
      <c r="I775" s="523"/>
      <c r="J775" s="523"/>
      <c r="K775" s="523"/>
      <c r="L775" s="523"/>
      <c r="M775" s="523"/>
      <c r="N775" s="523"/>
      <c r="O775" s="523"/>
      <c r="P775" s="523"/>
      <c r="Q775" s="523"/>
      <c r="R775" s="523"/>
      <c r="S775" s="523"/>
      <c r="T775" s="523"/>
      <c r="U775" s="523"/>
      <c r="V775" s="523"/>
      <c r="W775" s="523"/>
      <c r="X775" s="523"/>
      <c r="Y775" s="523"/>
      <c r="Z775" s="523"/>
    </row>
    <row r="776" spans="1:26" ht="15.75" customHeight="1">
      <c r="A776" s="523"/>
      <c r="B776" s="523"/>
      <c r="C776" s="523"/>
      <c r="D776" s="523"/>
      <c r="E776" s="523"/>
      <c r="F776" s="523"/>
      <c r="G776" s="523"/>
      <c r="H776" s="524"/>
      <c r="I776" s="523"/>
      <c r="J776" s="523"/>
      <c r="K776" s="523"/>
      <c r="L776" s="523"/>
      <c r="M776" s="523"/>
      <c r="N776" s="523"/>
      <c r="O776" s="523"/>
      <c r="P776" s="523"/>
      <c r="Q776" s="523"/>
      <c r="R776" s="523"/>
      <c r="S776" s="523"/>
      <c r="T776" s="523"/>
      <c r="U776" s="523"/>
      <c r="V776" s="523"/>
      <c r="W776" s="523"/>
      <c r="X776" s="523"/>
      <c r="Y776" s="523"/>
      <c r="Z776" s="523"/>
    </row>
    <row r="777" spans="1:26" ht="15.75" customHeight="1">
      <c r="A777" s="523"/>
      <c r="B777" s="523"/>
      <c r="C777" s="523"/>
      <c r="D777" s="523"/>
      <c r="E777" s="523"/>
      <c r="F777" s="523"/>
      <c r="G777" s="523"/>
      <c r="H777" s="524"/>
      <c r="I777" s="523"/>
      <c r="J777" s="523"/>
      <c r="K777" s="523"/>
      <c r="L777" s="523"/>
      <c r="M777" s="523"/>
      <c r="N777" s="523"/>
      <c r="O777" s="523"/>
      <c r="P777" s="523"/>
      <c r="Q777" s="523"/>
      <c r="R777" s="523"/>
      <c r="S777" s="523"/>
      <c r="T777" s="523"/>
      <c r="U777" s="523"/>
      <c r="V777" s="523"/>
      <c r="W777" s="523"/>
      <c r="X777" s="523"/>
      <c r="Y777" s="523"/>
      <c r="Z777" s="523"/>
    </row>
    <row r="778" spans="1:26" ht="15.75" customHeight="1">
      <c r="A778" s="523"/>
      <c r="B778" s="523"/>
      <c r="C778" s="523"/>
      <c r="D778" s="523"/>
      <c r="E778" s="523"/>
      <c r="F778" s="523"/>
      <c r="G778" s="523"/>
      <c r="H778" s="524"/>
      <c r="I778" s="523"/>
      <c r="J778" s="523"/>
      <c r="K778" s="523"/>
      <c r="L778" s="523"/>
      <c r="M778" s="523"/>
      <c r="N778" s="523"/>
      <c r="O778" s="523"/>
      <c r="P778" s="523"/>
      <c r="Q778" s="523"/>
      <c r="R778" s="523"/>
      <c r="S778" s="523"/>
      <c r="T778" s="523"/>
      <c r="U778" s="523"/>
      <c r="V778" s="523"/>
      <c r="W778" s="523"/>
      <c r="X778" s="523"/>
      <c r="Y778" s="523"/>
      <c r="Z778" s="523"/>
    </row>
    <row r="779" spans="1:26" ht="15.75" customHeight="1">
      <c r="A779" s="523"/>
      <c r="B779" s="523"/>
      <c r="C779" s="523"/>
      <c r="D779" s="523"/>
      <c r="E779" s="523"/>
      <c r="F779" s="523"/>
      <c r="G779" s="523"/>
      <c r="H779" s="524"/>
      <c r="I779" s="523"/>
      <c r="J779" s="523"/>
      <c r="K779" s="523"/>
      <c r="L779" s="523"/>
      <c r="M779" s="523"/>
      <c r="N779" s="523"/>
      <c r="O779" s="523"/>
      <c r="P779" s="523"/>
      <c r="Q779" s="523"/>
      <c r="R779" s="523"/>
      <c r="S779" s="523"/>
      <c r="T779" s="523"/>
      <c r="U779" s="523"/>
      <c r="V779" s="523"/>
      <c r="W779" s="523"/>
      <c r="X779" s="523"/>
      <c r="Y779" s="523"/>
      <c r="Z779" s="523"/>
    </row>
    <row r="780" spans="1:26" ht="15.75" customHeight="1">
      <c r="A780" s="523"/>
      <c r="B780" s="523"/>
      <c r="C780" s="523"/>
      <c r="D780" s="523"/>
      <c r="E780" s="523"/>
      <c r="F780" s="523"/>
      <c r="G780" s="523"/>
      <c r="H780" s="524"/>
      <c r="I780" s="523"/>
      <c r="J780" s="523"/>
      <c r="K780" s="523"/>
      <c r="L780" s="523"/>
      <c r="M780" s="523"/>
      <c r="N780" s="523"/>
      <c r="O780" s="523"/>
      <c r="P780" s="523"/>
      <c r="Q780" s="523"/>
      <c r="R780" s="523"/>
      <c r="S780" s="523"/>
      <c r="T780" s="523"/>
      <c r="U780" s="523"/>
      <c r="V780" s="523"/>
      <c r="W780" s="523"/>
      <c r="X780" s="523"/>
      <c r="Y780" s="523"/>
      <c r="Z780" s="523"/>
    </row>
    <row r="781" spans="1:26" ht="15.75" customHeight="1">
      <c r="A781" s="523"/>
      <c r="B781" s="523"/>
      <c r="C781" s="523"/>
      <c r="D781" s="523"/>
      <c r="E781" s="523"/>
      <c r="F781" s="523"/>
      <c r="G781" s="523"/>
      <c r="H781" s="524"/>
      <c r="I781" s="523"/>
      <c r="J781" s="523"/>
      <c r="K781" s="523"/>
      <c r="L781" s="523"/>
      <c r="M781" s="523"/>
      <c r="N781" s="523"/>
      <c r="O781" s="523"/>
      <c r="P781" s="523"/>
      <c r="Q781" s="523"/>
      <c r="R781" s="523"/>
      <c r="S781" s="523"/>
      <c r="T781" s="523"/>
      <c r="U781" s="523"/>
      <c r="V781" s="523"/>
      <c r="W781" s="523"/>
      <c r="X781" s="523"/>
      <c r="Y781" s="523"/>
      <c r="Z781" s="523"/>
    </row>
    <row r="782" spans="1:26" ht="15.75" customHeight="1">
      <c r="A782" s="523"/>
      <c r="B782" s="523"/>
      <c r="C782" s="523"/>
      <c r="D782" s="523"/>
      <c r="E782" s="523"/>
      <c r="F782" s="523"/>
      <c r="G782" s="523"/>
      <c r="H782" s="524"/>
      <c r="I782" s="523"/>
      <c r="J782" s="523"/>
      <c r="K782" s="523"/>
      <c r="L782" s="523"/>
      <c r="M782" s="523"/>
      <c r="N782" s="523"/>
      <c r="O782" s="523"/>
      <c r="P782" s="523"/>
      <c r="Q782" s="523"/>
      <c r="R782" s="523"/>
      <c r="S782" s="523"/>
      <c r="T782" s="523"/>
      <c r="U782" s="523"/>
      <c r="V782" s="523"/>
      <c r="W782" s="523"/>
      <c r="X782" s="523"/>
      <c r="Y782" s="523"/>
      <c r="Z782" s="523"/>
    </row>
    <row r="783" spans="1:26" ht="15.75" customHeight="1">
      <c r="A783" s="523"/>
      <c r="B783" s="523"/>
      <c r="C783" s="523"/>
      <c r="D783" s="523"/>
      <c r="E783" s="523"/>
      <c r="F783" s="523"/>
      <c r="G783" s="523"/>
      <c r="H783" s="524"/>
      <c r="I783" s="523"/>
      <c r="J783" s="523"/>
      <c r="K783" s="523"/>
      <c r="L783" s="523"/>
      <c r="M783" s="523"/>
      <c r="N783" s="523"/>
      <c r="O783" s="523"/>
      <c r="P783" s="523"/>
      <c r="Q783" s="523"/>
      <c r="R783" s="523"/>
      <c r="S783" s="523"/>
      <c r="T783" s="523"/>
      <c r="U783" s="523"/>
      <c r="V783" s="523"/>
      <c r="W783" s="523"/>
      <c r="X783" s="523"/>
      <c r="Y783" s="523"/>
      <c r="Z783" s="523"/>
    </row>
    <row r="784" spans="1:26" ht="15.75" customHeight="1">
      <c r="A784" s="523"/>
      <c r="B784" s="523"/>
      <c r="C784" s="523"/>
      <c r="D784" s="523"/>
      <c r="E784" s="523"/>
      <c r="F784" s="523"/>
      <c r="G784" s="523"/>
      <c r="H784" s="524"/>
      <c r="I784" s="523"/>
      <c r="J784" s="523"/>
      <c r="K784" s="523"/>
      <c r="L784" s="523"/>
      <c r="M784" s="523"/>
      <c r="N784" s="523"/>
      <c r="O784" s="523"/>
      <c r="P784" s="523"/>
      <c r="Q784" s="523"/>
      <c r="R784" s="523"/>
      <c r="S784" s="523"/>
      <c r="T784" s="523"/>
      <c r="U784" s="523"/>
      <c r="V784" s="523"/>
      <c r="W784" s="523"/>
      <c r="X784" s="523"/>
      <c r="Y784" s="523"/>
      <c r="Z784" s="523"/>
    </row>
    <row r="785" spans="1:26" ht="15.75" customHeight="1">
      <c r="A785" s="523"/>
      <c r="B785" s="523"/>
      <c r="C785" s="523"/>
      <c r="D785" s="523"/>
      <c r="E785" s="523"/>
      <c r="F785" s="523"/>
      <c r="G785" s="523"/>
      <c r="H785" s="524"/>
      <c r="I785" s="523"/>
      <c r="J785" s="523"/>
      <c r="K785" s="523"/>
      <c r="L785" s="523"/>
      <c r="M785" s="523"/>
      <c r="N785" s="523"/>
      <c r="O785" s="523"/>
      <c r="P785" s="523"/>
      <c r="Q785" s="523"/>
      <c r="R785" s="523"/>
      <c r="S785" s="523"/>
      <c r="T785" s="523"/>
      <c r="U785" s="523"/>
      <c r="V785" s="523"/>
      <c r="W785" s="523"/>
      <c r="X785" s="523"/>
      <c r="Y785" s="523"/>
      <c r="Z785" s="523"/>
    </row>
    <row r="786" spans="1:26" ht="15.75" customHeight="1">
      <c r="A786" s="523"/>
      <c r="B786" s="523"/>
      <c r="C786" s="523"/>
      <c r="D786" s="523"/>
      <c r="E786" s="523"/>
      <c r="F786" s="523"/>
      <c r="G786" s="523"/>
      <c r="H786" s="524"/>
      <c r="I786" s="523"/>
      <c r="J786" s="523"/>
      <c r="K786" s="523"/>
      <c r="L786" s="523"/>
      <c r="M786" s="523"/>
      <c r="N786" s="523"/>
      <c r="O786" s="523"/>
      <c r="P786" s="523"/>
      <c r="Q786" s="523"/>
      <c r="R786" s="523"/>
      <c r="S786" s="523"/>
      <c r="T786" s="523"/>
      <c r="U786" s="523"/>
      <c r="V786" s="523"/>
      <c r="W786" s="523"/>
      <c r="X786" s="523"/>
      <c r="Y786" s="523"/>
      <c r="Z786" s="523"/>
    </row>
    <row r="787" spans="1:26" ht="15.75" customHeight="1">
      <c r="A787" s="523"/>
      <c r="B787" s="523"/>
      <c r="C787" s="523"/>
      <c r="D787" s="523"/>
      <c r="E787" s="523"/>
      <c r="F787" s="523"/>
      <c r="G787" s="523"/>
      <c r="H787" s="524"/>
      <c r="I787" s="523"/>
      <c r="J787" s="523"/>
      <c r="K787" s="523"/>
      <c r="L787" s="523"/>
      <c r="M787" s="523"/>
      <c r="N787" s="523"/>
      <c r="O787" s="523"/>
      <c r="P787" s="523"/>
      <c r="Q787" s="523"/>
      <c r="R787" s="523"/>
      <c r="S787" s="523"/>
      <c r="T787" s="523"/>
      <c r="U787" s="523"/>
      <c r="V787" s="523"/>
      <c r="W787" s="523"/>
      <c r="X787" s="523"/>
      <c r="Y787" s="523"/>
      <c r="Z787" s="523"/>
    </row>
    <row r="788" spans="1:26" ht="15.75" customHeight="1">
      <c r="A788" s="523"/>
      <c r="B788" s="523"/>
      <c r="C788" s="523"/>
      <c r="D788" s="523"/>
      <c r="E788" s="523"/>
      <c r="F788" s="523"/>
      <c r="G788" s="523"/>
      <c r="H788" s="524"/>
      <c r="I788" s="523"/>
      <c r="J788" s="523"/>
      <c r="K788" s="523"/>
      <c r="L788" s="523"/>
      <c r="M788" s="523"/>
      <c r="N788" s="523"/>
      <c r="O788" s="523"/>
      <c r="P788" s="523"/>
      <c r="Q788" s="523"/>
      <c r="R788" s="523"/>
      <c r="S788" s="523"/>
      <c r="T788" s="523"/>
      <c r="U788" s="523"/>
      <c r="V788" s="523"/>
      <c r="W788" s="523"/>
      <c r="X788" s="523"/>
      <c r="Y788" s="523"/>
      <c r="Z788" s="523"/>
    </row>
    <row r="789" spans="1:26" ht="15.75" customHeight="1">
      <c r="A789" s="523"/>
      <c r="B789" s="523"/>
      <c r="C789" s="523"/>
      <c r="D789" s="523"/>
      <c r="E789" s="523"/>
      <c r="F789" s="523"/>
      <c r="G789" s="523"/>
      <c r="H789" s="524"/>
      <c r="I789" s="523"/>
      <c r="J789" s="523"/>
      <c r="K789" s="523"/>
      <c r="L789" s="523"/>
      <c r="M789" s="523"/>
      <c r="N789" s="523"/>
      <c r="O789" s="523"/>
      <c r="P789" s="523"/>
      <c r="Q789" s="523"/>
      <c r="R789" s="523"/>
      <c r="S789" s="523"/>
      <c r="T789" s="523"/>
      <c r="U789" s="523"/>
      <c r="V789" s="523"/>
      <c r="W789" s="523"/>
      <c r="X789" s="523"/>
      <c r="Y789" s="523"/>
      <c r="Z789" s="523"/>
    </row>
    <row r="790" spans="1:26" ht="15.75" customHeight="1">
      <c r="A790" s="523"/>
      <c r="B790" s="523"/>
      <c r="C790" s="523"/>
      <c r="D790" s="523"/>
      <c r="E790" s="523"/>
      <c r="F790" s="523"/>
      <c r="G790" s="523"/>
      <c r="H790" s="524"/>
      <c r="I790" s="523"/>
      <c r="J790" s="523"/>
      <c r="K790" s="523"/>
      <c r="L790" s="523"/>
      <c r="M790" s="523"/>
      <c r="N790" s="523"/>
      <c r="O790" s="523"/>
      <c r="P790" s="523"/>
      <c r="Q790" s="523"/>
      <c r="R790" s="523"/>
      <c r="S790" s="523"/>
      <c r="T790" s="523"/>
      <c r="U790" s="523"/>
      <c r="V790" s="523"/>
      <c r="W790" s="523"/>
      <c r="X790" s="523"/>
      <c r="Y790" s="523"/>
      <c r="Z790" s="523"/>
    </row>
    <row r="791" spans="1:26" ht="15.75" customHeight="1">
      <c r="A791" s="523"/>
      <c r="B791" s="523"/>
      <c r="C791" s="523"/>
      <c r="D791" s="523"/>
      <c r="E791" s="523"/>
      <c r="F791" s="523"/>
      <c r="G791" s="523"/>
      <c r="H791" s="524"/>
      <c r="I791" s="523"/>
      <c r="J791" s="523"/>
      <c r="K791" s="523"/>
      <c r="L791" s="523"/>
      <c r="M791" s="523"/>
      <c r="N791" s="523"/>
      <c r="O791" s="523"/>
      <c r="P791" s="523"/>
      <c r="Q791" s="523"/>
      <c r="R791" s="523"/>
      <c r="S791" s="523"/>
      <c r="T791" s="523"/>
      <c r="U791" s="523"/>
      <c r="V791" s="523"/>
      <c r="W791" s="523"/>
      <c r="X791" s="523"/>
      <c r="Y791" s="523"/>
      <c r="Z791" s="523"/>
    </row>
    <row r="792" spans="1:26" ht="15.75" customHeight="1">
      <c r="A792" s="523"/>
      <c r="B792" s="523"/>
      <c r="C792" s="523"/>
      <c r="D792" s="523"/>
      <c r="E792" s="523"/>
      <c r="F792" s="523"/>
      <c r="G792" s="523"/>
      <c r="H792" s="524"/>
      <c r="I792" s="523"/>
      <c r="J792" s="523"/>
      <c r="K792" s="523"/>
      <c r="L792" s="523"/>
      <c r="M792" s="523"/>
      <c r="N792" s="523"/>
      <c r="O792" s="523"/>
      <c r="P792" s="523"/>
      <c r="Q792" s="523"/>
      <c r="R792" s="523"/>
      <c r="S792" s="523"/>
      <c r="T792" s="523"/>
      <c r="U792" s="523"/>
      <c r="V792" s="523"/>
      <c r="W792" s="523"/>
      <c r="X792" s="523"/>
      <c r="Y792" s="523"/>
      <c r="Z792" s="523"/>
    </row>
    <row r="793" spans="1:26" ht="15.75" customHeight="1">
      <c r="A793" s="523"/>
      <c r="B793" s="523"/>
      <c r="C793" s="523"/>
      <c r="D793" s="523"/>
      <c r="E793" s="523"/>
      <c r="F793" s="523"/>
      <c r="G793" s="523"/>
      <c r="H793" s="524"/>
      <c r="I793" s="523"/>
      <c r="J793" s="523"/>
      <c r="K793" s="523"/>
      <c r="L793" s="523"/>
      <c r="M793" s="523"/>
      <c r="N793" s="523"/>
      <c r="O793" s="523"/>
      <c r="P793" s="523"/>
      <c r="Q793" s="523"/>
      <c r="R793" s="523"/>
      <c r="S793" s="523"/>
      <c r="T793" s="523"/>
      <c r="U793" s="523"/>
      <c r="V793" s="523"/>
      <c r="W793" s="523"/>
      <c r="X793" s="523"/>
      <c r="Y793" s="523"/>
      <c r="Z793" s="523"/>
    </row>
    <row r="794" spans="1:26" ht="15.75" customHeight="1">
      <c r="A794" s="523"/>
      <c r="B794" s="523"/>
      <c r="C794" s="523"/>
      <c r="D794" s="523"/>
      <c r="E794" s="523"/>
      <c r="F794" s="523"/>
      <c r="G794" s="523"/>
      <c r="H794" s="524"/>
      <c r="I794" s="523"/>
      <c r="J794" s="523"/>
      <c r="K794" s="523"/>
      <c r="L794" s="523"/>
      <c r="M794" s="523"/>
      <c r="N794" s="523"/>
      <c r="O794" s="523"/>
      <c r="P794" s="523"/>
      <c r="Q794" s="523"/>
      <c r="R794" s="523"/>
      <c r="S794" s="523"/>
      <c r="T794" s="523"/>
      <c r="U794" s="523"/>
      <c r="V794" s="523"/>
      <c r="W794" s="523"/>
      <c r="X794" s="523"/>
      <c r="Y794" s="523"/>
      <c r="Z794" s="523"/>
    </row>
    <row r="795" spans="1:26" ht="15.75" customHeight="1">
      <c r="A795" s="523"/>
      <c r="B795" s="523"/>
      <c r="C795" s="523"/>
      <c r="D795" s="523"/>
      <c r="E795" s="523"/>
      <c r="F795" s="523"/>
      <c r="G795" s="523"/>
      <c r="H795" s="524"/>
      <c r="I795" s="523"/>
      <c r="J795" s="523"/>
      <c r="K795" s="523"/>
      <c r="L795" s="523"/>
      <c r="M795" s="523"/>
      <c r="N795" s="523"/>
      <c r="O795" s="523"/>
      <c r="P795" s="523"/>
      <c r="Q795" s="523"/>
      <c r="R795" s="523"/>
      <c r="S795" s="523"/>
      <c r="T795" s="523"/>
      <c r="U795" s="523"/>
      <c r="V795" s="523"/>
      <c r="W795" s="523"/>
      <c r="X795" s="523"/>
      <c r="Y795" s="523"/>
      <c r="Z795" s="523"/>
    </row>
    <row r="796" spans="1:26" ht="15.75" customHeight="1">
      <c r="A796" s="523"/>
      <c r="B796" s="523"/>
      <c r="C796" s="523"/>
      <c r="D796" s="523"/>
      <c r="E796" s="523"/>
      <c r="F796" s="523"/>
      <c r="G796" s="523"/>
      <c r="H796" s="524"/>
      <c r="I796" s="523"/>
      <c r="J796" s="523"/>
      <c r="K796" s="523"/>
      <c r="L796" s="523"/>
      <c r="M796" s="523"/>
      <c r="N796" s="523"/>
      <c r="O796" s="523"/>
      <c r="P796" s="523"/>
      <c r="Q796" s="523"/>
      <c r="R796" s="523"/>
      <c r="S796" s="523"/>
      <c r="T796" s="523"/>
      <c r="U796" s="523"/>
      <c r="V796" s="523"/>
      <c r="W796" s="523"/>
      <c r="X796" s="523"/>
      <c r="Y796" s="523"/>
      <c r="Z796" s="523"/>
    </row>
    <row r="797" spans="1:26" ht="15.75" customHeight="1">
      <c r="A797" s="523"/>
      <c r="B797" s="523"/>
      <c r="C797" s="523"/>
      <c r="D797" s="523"/>
      <c r="E797" s="523"/>
      <c r="F797" s="523"/>
      <c r="G797" s="523"/>
      <c r="H797" s="524"/>
      <c r="I797" s="523"/>
      <c r="J797" s="523"/>
      <c r="K797" s="523"/>
      <c r="L797" s="523"/>
      <c r="M797" s="523"/>
      <c r="N797" s="523"/>
      <c r="O797" s="523"/>
      <c r="P797" s="523"/>
      <c r="Q797" s="523"/>
      <c r="R797" s="523"/>
      <c r="S797" s="523"/>
      <c r="T797" s="523"/>
      <c r="U797" s="523"/>
      <c r="V797" s="523"/>
      <c r="W797" s="523"/>
      <c r="X797" s="523"/>
      <c r="Y797" s="523"/>
      <c r="Z797" s="523"/>
    </row>
    <row r="798" spans="1:26" ht="15.75" customHeight="1">
      <c r="A798" s="523"/>
      <c r="B798" s="523"/>
      <c r="C798" s="523"/>
      <c r="D798" s="523"/>
      <c r="E798" s="523"/>
      <c r="F798" s="523"/>
      <c r="G798" s="523"/>
      <c r="H798" s="524"/>
      <c r="I798" s="523"/>
      <c r="J798" s="523"/>
      <c r="K798" s="523"/>
      <c r="L798" s="523"/>
      <c r="M798" s="523"/>
      <c r="N798" s="523"/>
      <c r="O798" s="523"/>
      <c r="P798" s="523"/>
      <c r="Q798" s="523"/>
      <c r="R798" s="523"/>
      <c r="S798" s="523"/>
      <c r="T798" s="523"/>
      <c r="U798" s="523"/>
      <c r="V798" s="523"/>
      <c r="W798" s="523"/>
      <c r="X798" s="523"/>
      <c r="Y798" s="523"/>
      <c r="Z798" s="523"/>
    </row>
    <row r="799" spans="1:26" ht="15.75" customHeight="1">
      <c r="A799" s="523"/>
      <c r="B799" s="523"/>
      <c r="C799" s="523"/>
      <c r="D799" s="523"/>
      <c r="E799" s="523"/>
      <c r="F799" s="523"/>
      <c r="G799" s="523"/>
      <c r="H799" s="524"/>
      <c r="I799" s="523"/>
      <c r="J799" s="523"/>
      <c r="K799" s="523"/>
      <c r="L799" s="523"/>
      <c r="M799" s="523"/>
      <c r="N799" s="523"/>
      <c r="O799" s="523"/>
      <c r="P799" s="523"/>
      <c r="Q799" s="523"/>
      <c r="R799" s="523"/>
      <c r="S799" s="523"/>
      <c r="T799" s="523"/>
      <c r="U799" s="523"/>
      <c r="V799" s="523"/>
      <c r="W799" s="523"/>
      <c r="X799" s="523"/>
      <c r="Y799" s="523"/>
      <c r="Z799" s="523"/>
    </row>
    <row r="800" spans="1:26" ht="15.75" customHeight="1">
      <c r="A800" s="523"/>
      <c r="B800" s="523"/>
      <c r="C800" s="523"/>
      <c r="D800" s="523"/>
      <c r="E800" s="523"/>
      <c r="F800" s="523"/>
      <c r="G800" s="523"/>
      <c r="H800" s="524"/>
      <c r="I800" s="523"/>
      <c r="J800" s="523"/>
      <c r="K800" s="523"/>
      <c r="L800" s="523"/>
      <c r="M800" s="523"/>
      <c r="N800" s="523"/>
      <c r="O800" s="523"/>
      <c r="P800" s="523"/>
      <c r="Q800" s="523"/>
      <c r="R800" s="523"/>
      <c r="S800" s="523"/>
      <c r="T800" s="523"/>
      <c r="U800" s="523"/>
      <c r="V800" s="523"/>
      <c r="W800" s="523"/>
      <c r="X800" s="523"/>
      <c r="Y800" s="523"/>
      <c r="Z800" s="523"/>
    </row>
    <row r="801" spans="1:26" ht="15.75" customHeight="1">
      <c r="A801" s="523"/>
      <c r="B801" s="523"/>
      <c r="C801" s="523"/>
      <c r="D801" s="523"/>
      <c r="E801" s="523"/>
      <c r="F801" s="523"/>
      <c r="G801" s="523"/>
      <c r="H801" s="524"/>
      <c r="I801" s="523"/>
      <c r="J801" s="523"/>
      <c r="K801" s="523"/>
      <c r="L801" s="523"/>
      <c r="M801" s="523"/>
      <c r="N801" s="523"/>
      <c r="O801" s="523"/>
      <c r="P801" s="523"/>
      <c r="Q801" s="523"/>
      <c r="R801" s="523"/>
      <c r="S801" s="523"/>
      <c r="T801" s="523"/>
      <c r="U801" s="523"/>
      <c r="V801" s="523"/>
      <c r="W801" s="523"/>
      <c r="X801" s="523"/>
      <c r="Y801" s="523"/>
      <c r="Z801" s="523"/>
    </row>
    <row r="802" spans="1:26" ht="15.75" customHeight="1">
      <c r="A802" s="523"/>
      <c r="B802" s="523"/>
      <c r="C802" s="523"/>
      <c r="D802" s="523"/>
      <c r="E802" s="523"/>
      <c r="F802" s="523"/>
      <c r="G802" s="523"/>
      <c r="H802" s="524"/>
      <c r="I802" s="523"/>
      <c r="J802" s="523"/>
      <c r="K802" s="523"/>
      <c r="L802" s="523"/>
      <c r="M802" s="523"/>
      <c r="N802" s="523"/>
      <c r="O802" s="523"/>
      <c r="P802" s="523"/>
      <c r="Q802" s="523"/>
      <c r="R802" s="523"/>
      <c r="S802" s="523"/>
      <c r="T802" s="523"/>
      <c r="U802" s="523"/>
      <c r="V802" s="523"/>
      <c r="W802" s="523"/>
      <c r="X802" s="523"/>
      <c r="Y802" s="523"/>
      <c r="Z802" s="523"/>
    </row>
    <row r="803" spans="1:26" ht="15.75" customHeight="1">
      <c r="A803" s="523"/>
      <c r="B803" s="523"/>
      <c r="C803" s="523"/>
      <c r="D803" s="523"/>
      <c r="E803" s="523"/>
      <c r="F803" s="523"/>
      <c r="G803" s="523"/>
      <c r="H803" s="524"/>
      <c r="I803" s="523"/>
      <c r="J803" s="523"/>
      <c r="K803" s="523"/>
      <c r="L803" s="523"/>
      <c r="M803" s="523"/>
      <c r="N803" s="523"/>
      <c r="O803" s="523"/>
      <c r="P803" s="523"/>
      <c r="Q803" s="523"/>
      <c r="R803" s="523"/>
      <c r="S803" s="523"/>
      <c r="T803" s="523"/>
      <c r="U803" s="523"/>
      <c r="V803" s="523"/>
      <c r="W803" s="523"/>
      <c r="X803" s="523"/>
      <c r="Y803" s="523"/>
      <c r="Z803" s="523"/>
    </row>
    <row r="804" spans="1:26" ht="15.75" customHeight="1">
      <c r="A804" s="523"/>
      <c r="B804" s="523"/>
      <c r="C804" s="523"/>
      <c r="D804" s="523"/>
      <c r="E804" s="523"/>
      <c r="F804" s="523"/>
      <c r="G804" s="523"/>
      <c r="H804" s="524"/>
      <c r="I804" s="523"/>
      <c r="J804" s="523"/>
      <c r="K804" s="523"/>
      <c r="L804" s="523"/>
      <c r="M804" s="523"/>
      <c r="N804" s="523"/>
      <c r="O804" s="523"/>
      <c r="P804" s="523"/>
      <c r="Q804" s="523"/>
      <c r="R804" s="523"/>
      <c r="S804" s="523"/>
      <c r="T804" s="523"/>
      <c r="U804" s="523"/>
      <c r="V804" s="523"/>
      <c r="W804" s="523"/>
      <c r="X804" s="523"/>
      <c r="Y804" s="523"/>
      <c r="Z804" s="523"/>
    </row>
    <row r="805" spans="1:26" ht="15.75" customHeight="1">
      <c r="A805" s="523"/>
      <c r="B805" s="523"/>
      <c r="C805" s="523"/>
      <c r="D805" s="523"/>
      <c r="E805" s="523"/>
      <c r="F805" s="523"/>
      <c r="G805" s="523"/>
      <c r="H805" s="524"/>
      <c r="I805" s="523"/>
      <c r="J805" s="523"/>
      <c r="K805" s="523"/>
      <c r="L805" s="523"/>
      <c r="M805" s="523"/>
      <c r="N805" s="523"/>
      <c r="O805" s="523"/>
      <c r="P805" s="523"/>
      <c r="Q805" s="523"/>
      <c r="R805" s="523"/>
      <c r="S805" s="523"/>
      <c r="T805" s="523"/>
      <c r="U805" s="523"/>
      <c r="V805" s="523"/>
      <c r="W805" s="523"/>
      <c r="X805" s="523"/>
      <c r="Y805" s="523"/>
      <c r="Z805" s="523"/>
    </row>
    <row r="806" spans="1:26" ht="15.75" customHeight="1">
      <c r="A806" s="523"/>
      <c r="B806" s="523"/>
      <c r="C806" s="523"/>
      <c r="D806" s="523"/>
      <c r="E806" s="523"/>
      <c r="F806" s="523"/>
      <c r="G806" s="523"/>
      <c r="H806" s="524"/>
      <c r="I806" s="523"/>
      <c r="J806" s="523"/>
      <c r="K806" s="523"/>
      <c r="L806" s="523"/>
      <c r="M806" s="523"/>
      <c r="N806" s="523"/>
      <c r="O806" s="523"/>
      <c r="P806" s="523"/>
      <c r="Q806" s="523"/>
      <c r="R806" s="523"/>
      <c r="S806" s="523"/>
      <c r="T806" s="523"/>
      <c r="U806" s="523"/>
      <c r="V806" s="523"/>
      <c r="W806" s="523"/>
      <c r="X806" s="523"/>
      <c r="Y806" s="523"/>
      <c r="Z806" s="523"/>
    </row>
    <row r="807" spans="1:26" ht="15.75" customHeight="1">
      <c r="A807" s="523"/>
      <c r="B807" s="523"/>
      <c r="C807" s="523"/>
      <c r="D807" s="523"/>
      <c r="E807" s="523"/>
      <c r="F807" s="523"/>
      <c r="G807" s="523"/>
      <c r="H807" s="524"/>
      <c r="I807" s="523"/>
      <c r="J807" s="523"/>
      <c r="K807" s="523"/>
      <c r="L807" s="523"/>
      <c r="M807" s="523"/>
      <c r="N807" s="523"/>
      <c r="O807" s="523"/>
      <c r="P807" s="523"/>
      <c r="Q807" s="523"/>
      <c r="R807" s="523"/>
      <c r="S807" s="523"/>
      <c r="T807" s="523"/>
      <c r="U807" s="523"/>
      <c r="V807" s="523"/>
      <c r="W807" s="523"/>
      <c r="X807" s="523"/>
      <c r="Y807" s="523"/>
      <c r="Z807" s="523"/>
    </row>
    <row r="808" spans="1:26" ht="15.75" customHeight="1">
      <c r="A808" s="523"/>
      <c r="B808" s="523"/>
      <c r="C808" s="523"/>
      <c r="D808" s="523"/>
      <c r="E808" s="523"/>
      <c r="F808" s="523"/>
      <c r="G808" s="523"/>
      <c r="H808" s="524"/>
      <c r="I808" s="523"/>
      <c r="J808" s="523"/>
      <c r="K808" s="523"/>
      <c r="L808" s="523"/>
      <c r="M808" s="523"/>
      <c r="N808" s="523"/>
      <c r="O808" s="523"/>
      <c r="P808" s="523"/>
      <c r="Q808" s="523"/>
      <c r="R808" s="523"/>
      <c r="S808" s="523"/>
      <c r="T808" s="523"/>
      <c r="U808" s="523"/>
      <c r="V808" s="523"/>
      <c r="W808" s="523"/>
      <c r="X808" s="523"/>
      <c r="Y808" s="523"/>
      <c r="Z808" s="523"/>
    </row>
    <row r="809" spans="1:26" ht="15.75" customHeight="1">
      <c r="A809" s="523"/>
      <c r="B809" s="523"/>
      <c r="C809" s="523"/>
      <c r="D809" s="523"/>
      <c r="E809" s="523"/>
      <c r="F809" s="523"/>
      <c r="G809" s="523"/>
      <c r="H809" s="524"/>
      <c r="I809" s="523"/>
      <c r="J809" s="523"/>
      <c r="K809" s="523"/>
      <c r="L809" s="523"/>
      <c r="M809" s="523"/>
      <c r="N809" s="523"/>
      <c r="O809" s="523"/>
      <c r="P809" s="523"/>
      <c r="Q809" s="523"/>
      <c r="R809" s="523"/>
      <c r="S809" s="523"/>
      <c r="T809" s="523"/>
      <c r="U809" s="523"/>
      <c r="V809" s="523"/>
      <c r="W809" s="523"/>
      <c r="X809" s="523"/>
      <c r="Y809" s="523"/>
      <c r="Z809" s="523"/>
    </row>
    <row r="810" spans="1:26" ht="15.75" customHeight="1">
      <c r="A810" s="523"/>
      <c r="B810" s="523"/>
      <c r="C810" s="523"/>
      <c r="D810" s="523"/>
      <c r="E810" s="523"/>
      <c r="F810" s="523"/>
      <c r="G810" s="523"/>
      <c r="H810" s="524"/>
      <c r="I810" s="523"/>
      <c r="J810" s="523"/>
      <c r="K810" s="523"/>
      <c r="L810" s="523"/>
      <c r="M810" s="523"/>
      <c r="N810" s="523"/>
      <c r="O810" s="523"/>
      <c r="P810" s="523"/>
      <c r="Q810" s="523"/>
      <c r="R810" s="523"/>
      <c r="S810" s="523"/>
      <c r="T810" s="523"/>
      <c r="U810" s="523"/>
      <c r="V810" s="523"/>
      <c r="W810" s="523"/>
      <c r="X810" s="523"/>
      <c r="Y810" s="523"/>
      <c r="Z810" s="523"/>
    </row>
    <row r="811" spans="1:26" ht="15.75" customHeight="1">
      <c r="A811" s="523"/>
      <c r="B811" s="523"/>
      <c r="C811" s="523"/>
      <c r="D811" s="523"/>
      <c r="E811" s="523"/>
      <c r="F811" s="523"/>
      <c r="G811" s="523"/>
      <c r="H811" s="524"/>
      <c r="I811" s="523"/>
      <c r="J811" s="523"/>
      <c r="K811" s="523"/>
      <c r="L811" s="523"/>
      <c r="M811" s="523"/>
      <c r="N811" s="523"/>
      <c r="O811" s="523"/>
      <c r="P811" s="523"/>
      <c r="Q811" s="523"/>
      <c r="R811" s="523"/>
      <c r="S811" s="523"/>
      <c r="T811" s="523"/>
      <c r="U811" s="523"/>
      <c r="V811" s="523"/>
      <c r="W811" s="523"/>
      <c r="X811" s="523"/>
      <c r="Y811" s="523"/>
      <c r="Z811" s="523"/>
    </row>
    <row r="812" spans="1:26" ht="15.75" customHeight="1">
      <c r="A812" s="523"/>
      <c r="B812" s="523"/>
      <c r="C812" s="523"/>
      <c r="D812" s="523"/>
      <c r="E812" s="523"/>
      <c r="F812" s="523"/>
      <c r="G812" s="523"/>
      <c r="H812" s="524"/>
      <c r="I812" s="523"/>
      <c r="J812" s="523"/>
      <c r="K812" s="523"/>
      <c r="L812" s="523"/>
      <c r="M812" s="523"/>
      <c r="N812" s="523"/>
      <c r="O812" s="523"/>
      <c r="P812" s="523"/>
      <c r="Q812" s="523"/>
      <c r="R812" s="523"/>
      <c r="S812" s="523"/>
      <c r="T812" s="523"/>
      <c r="U812" s="523"/>
      <c r="V812" s="523"/>
      <c r="W812" s="523"/>
      <c r="X812" s="523"/>
      <c r="Y812" s="523"/>
      <c r="Z812" s="523"/>
    </row>
    <row r="813" spans="1:26" ht="15.75" customHeight="1">
      <c r="A813" s="523"/>
      <c r="B813" s="523"/>
      <c r="C813" s="523"/>
      <c r="D813" s="523"/>
      <c r="E813" s="523"/>
      <c r="F813" s="523"/>
      <c r="G813" s="523"/>
      <c r="H813" s="524"/>
      <c r="I813" s="523"/>
      <c r="J813" s="523"/>
      <c r="K813" s="523"/>
      <c r="L813" s="523"/>
      <c r="M813" s="523"/>
      <c r="N813" s="523"/>
      <c r="O813" s="523"/>
      <c r="P813" s="523"/>
      <c r="Q813" s="523"/>
      <c r="R813" s="523"/>
      <c r="S813" s="523"/>
      <c r="T813" s="523"/>
      <c r="U813" s="523"/>
      <c r="V813" s="523"/>
      <c r="W813" s="523"/>
      <c r="X813" s="523"/>
      <c r="Y813" s="523"/>
      <c r="Z813" s="523"/>
    </row>
    <row r="814" spans="1:26" ht="15.75" customHeight="1">
      <c r="A814" s="523"/>
      <c r="B814" s="523"/>
      <c r="C814" s="523"/>
      <c r="D814" s="523"/>
      <c r="E814" s="523"/>
      <c r="F814" s="523"/>
      <c r="G814" s="523"/>
      <c r="H814" s="524"/>
      <c r="I814" s="523"/>
      <c r="J814" s="523"/>
      <c r="K814" s="523"/>
      <c r="L814" s="523"/>
      <c r="M814" s="523"/>
      <c r="N814" s="523"/>
      <c r="O814" s="523"/>
      <c r="P814" s="523"/>
      <c r="Q814" s="523"/>
      <c r="R814" s="523"/>
      <c r="S814" s="523"/>
      <c r="T814" s="523"/>
      <c r="U814" s="523"/>
      <c r="V814" s="523"/>
      <c r="W814" s="523"/>
      <c r="X814" s="523"/>
      <c r="Y814" s="523"/>
      <c r="Z814" s="523"/>
    </row>
    <row r="815" spans="1:26" ht="15.75" customHeight="1">
      <c r="A815" s="523"/>
      <c r="B815" s="523"/>
      <c r="C815" s="523"/>
      <c r="D815" s="523"/>
      <c r="E815" s="523"/>
      <c r="F815" s="523"/>
      <c r="G815" s="523"/>
      <c r="H815" s="524"/>
      <c r="I815" s="523"/>
      <c r="J815" s="523"/>
      <c r="K815" s="523"/>
      <c r="L815" s="523"/>
      <c r="M815" s="523"/>
      <c r="N815" s="523"/>
      <c r="O815" s="523"/>
      <c r="P815" s="523"/>
      <c r="Q815" s="523"/>
      <c r="R815" s="523"/>
      <c r="S815" s="523"/>
      <c r="T815" s="523"/>
      <c r="U815" s="523"/>
      <c r="V815" s="523"/>
      <c r="W815" s="523"/>
      <c r="X815" s="523"/>
      <c r="Y815" s="523"/>
      <c r="Z815" s="523"/>
    </row>
    <row r="816" spans="1:26" ht="15.75" customHeight="1">
      <c r="A816" s="523"/>
      <c r="B816" s="523"/>
      <c r="C816" s="523"/>
      <c r="D816" s="523"/>
      <c r="E816" s="523"/>
      <c r="F816" s="523"/>
      <c r="G816" s="523"/>
      <c r="H816" s="524"/>
      <c r="I816" s="523"/>
      <c r="J816" s="523"/>
      <c r="K816" s="523"/>
      <c r="L816" s="523"/>
      <c r="M816" s="523"/>
      <c r="N816" s="523"/>
      <c r="O816" s="523"/>
      <c r="P816" s="523"/>
      <c r="Q816" s="523"/>
      <c r="R816" s="523"/>
      <c r="S816" s="523"/>
      <c r="T816" s="523"/>
      <c r="U816" s="523"/>
      <c r="V816" s="523"/>
      <c r="W816" s="523"/>
      <c r="X816" s="523"/>
      <c r="Y816" s="523"/>
      <c r="Z816" s="523"/>
    </row>
    <row r="817" spans="1:26" ht="15.75" customHeight="1">
      <c r="A817" s="523"/>
      <c r="B817" s="523"/>
      <c r="C817" s="523"/>
      <c r="D817" s="523"/>
      <c r="E817" s="523"/>
      <c r="F817" s="523"/>
      <c r="G817" s="523"/>
      <c r="H817" s="524"/>
      <c r="I817" s="523"/>
      <c r="J817" s="523"/>
      <c r="K817" s="523"/>
      <c r="L817" s="523"/>
      <c r="M817" s="523"/>
      <c r="N817" s="523"/>
      <c r="O817" s="523"/>
      <c r="P817" s="523"/>
      <c r="Q817" s="523"/>
      <c r="R817" s="523"/>
      <c r="S817" s="523"/>
      <c r="T817" s="523"/>
      <c r="U817" s="523"/>
      <c r="V817" s="523"/>
      <c r="W817" s="523"/>
      <c r="X817" s="523"/>
      <c r="Y817" s="523"/>
      <c r="Z817" s="523"/>
    </row>
    <row r="818" spans="1:26" ht="15.75" customHeight="1">
      <c r="A818" s="523"/>
      <c r="B818" s="523"/>
      <c r="C818" s="523"/>
      <c r="D818" s="523"/>
      <c r="E818" s="523"/>
      <c r="F818" s="523"/>
      <c r="G818" s="523"/>
      <c r="H818" s="524"/>
      <c r="I818" s="523"/>
      <c r="J818" s="523"/>
      <c r="K818" s="523"/>
      <c r="L818" s="523"/>
      <c r="M818" s="523"/>
      <c r="N818" s="523"/>
      <c r="O818" s="523"/>
      <c r="P818" s="523"/>
      <c r="Q818" s="523"/>
      <c r="R818" s="523"/>
      <c r="S818" s="523"/>
      <c r="T818" s="523"/>
      <c r="U818" s="523"/>
      <c r="V818" s="523"/>
      <c r="W818" s="523"/>
      <c r="X818" s="523"/>
      <c r="Y818" s="523"/>
      <c r="Z818" s="523"/>
    </row>
    <row r="819" spans="1:26" ht="15.75" customHeight="1">
      <c r="A819" s="523"/>
      <c r="B819" s="523"/>
      <c r="C819" s="523"/>
      <c r="D819" s="523"/>
      <c r="E819" s="523"/>
      <c r="F819" s="523"/>
      <c r="G819" s="523"/>
      <c r="H819" s="524"/>
      <c r="I819" s="523"/>
      <c r="J819" s="523"/>
      <c r="K819" s="523"/>
      <c r="L819" s="523"/>
      <c r="M819" s="523"/>
      <c r="N819" s="523"/>
      <c r="O819" s="523"/>
      <c r="P819" s="523"/>
      <c r="Q819" s="523"/>
      <c r="R819" s="523"/>
      <c r="S819" s="523"/>
      <c r="T819" s="523"/>
      <c r="U819" s="523"/>
      <c r="V819" s="523"/>
      <c r="W819" s="523"/>
      <c r="X819" s="523"/>
      <c r="Y819" s="523"/>
      <c r="Z819" s="523"/>
    </row>
    <row r="820" spans="1:26" ht="15.75" customHeight="1">
      <c r="A820" s="523"/>
      <c r="B820" s="523"/>
      <c r="C820" s="523"/>
      <c r="D820" s="523"/>
      <c r="E820" s="523"/>
      <c r="F820" s="523"/>
      <c r="G820" s="523"/>
      <c r="H820" s="524"/>
      <c r="I820" s="523"/>
      <c r="J820" s="523"/>
      <c r="K820" s="523"/>
      <c r="L820" s="523"/>
      <c r="M820" s="523"/>
      <c r="N820" s="523"/>
      <c r="O820" s="523"/>
      <c r="P820" s="523"/>
      <c r="Q820" s="523"/>
      <c r="R820" s="523"/>
      <c r="S820" s="523"/>
      <c r="T820" s="523"/>
      <c r="U820" s="523"/>
      <c r="V820" s="523"/>
      <c r="W820" s="523"/>
      <c r="X820" s="523"/>
      <c r="Y820" s="523"/>
      <c r="Z820" s="523"/>
    </row>
    <row r="821" spans="1:26" ht="15.75" customHeight="1">
      <c r="A821" s="523"/>
      <c r="B821" s="523"/>
      <c r="C821" s="523"/>
      <c r="D821" s="523"/>
      <c r="E821" s="523"/>
      <c r="F821" s="523"/>
      <c r="G821" s="523"/>
      <c r="H821" s="524"/>
      <c r="I821" s="523"/>
      <c r="J821" s="523"/>
      <c r="K821" s="523"/>
      <c r="L821" s="523"/>
      <c r="M821" s="523"/>
      <c r="N821" s="523"/>
      <c r="O821" s="523"/>
      <c r="P821" s="523"/>
      <c r="Q821" s="523"/>
      <c r="R821" s="523"/>
      <c r="S821" s="523"/>
      <c r="T821" s="523"/>
      <c r="U821" s="523"/>
      <c r="V821" s="523"/>
      <c r="W821" s="523"/>
      <c r="X821" s="523"/>
      <c r="Y821" s="523"/>
      <c r="Z821" s="523"/>
    </row>
    <row r="822" spans="1:26" ht="15.75" customHeight="1">
      <c r="A822" s="523"/>
      <c r="B822" s="523"/>
      <c r="C822" s="523"/>
      <c r="D822" s="523"/>
      <c r="E822" s="523"/>
      <c r="F822" s="523"/>
      <c r="G822" s="523"/>
      <c r="H822" s="524"/>
      <c r="I822" s="523"/>
      <c r="J822" s="523"/>
      <c r="K822" s="523"/>
      <c r="L822" s="523"/>
      <c r="M822" s="523"/>
      <c r="N822" s="523"/>
      <c r="O822" s="523"/>
      <c r="P822" s="523"/>
      <c r="Q822" s="523"/>
      <c r="R822" s="523"/>
      <c r="S822" s="523"/>
      <c r="T822" s="523"/>
      <c r="U822" s="523"/>
      <c r="V822" s="523"/>
      <c r="W822" s="523"/>
      <c r="X822" s="523"/>
      <c r="Y822" s="523"/>
      <c r="Z822" s="523"/>
    </row>
    <row r="823" spans="1:26" ht="15.75" customHeight="1">
      <c r="A823" s="523"/>
      <c r="B823" s="523"/>
      <c r="C823" s="523"/>
      <c r="D823" s="523"/>
      <c r="E823" s="523"/>
      <c r="F823" s="523"/>
      <c r="G823" s="523"/>
      <c r="H823" s="524"/>
      <c r="I823" s="523"/>
      <c r="J823" s="523"/>
      <c r="K823" s="523"/>
      <c r="L823" s="523"/>
      <c r="M823" s="523"/>
      <c r="N823" s="523"/>
      <c r="O823" s="523"/>
      <c r="P823" s="523"/>
      <c r="Q823" s="523"/>
      <c r="R823" s="523"/>
      <c r="S823" s="523"/>
      <c r="T823" s="523"/>
      <c r="U823" s="523"/>
      <c r="V823" s="523"/>
      <c r="W823" s="523"/>
      <c r="X823" s="523"/>
      <c r="Y823" s="523"/>
      <c r="Z823" s="523"/>
    </row>
    <row r="824" spans="1:26" ht="15.75" customHeight="1">
      <c r="A824" s="523"/>
      <c r="B824" s="523"/>
      <c r="C824" s="523"/>
      <c r="D824" s="523"/>
      <c r="E824" s="523"/>
      <c r="F824" s="523"/>
      <c r="G824" s="523"/>
      <c r="H824" s="524"/>
      <c r="I824" s="523"/>
      <c r="J824" s="523"/>
      <c r="K824" s="523"/>
      <c r="L824" s="523"/>
      <c r="M824" s="523"/>
      <c r="N824" s="523"/>
      <c r="O824" s="523"/>
      <c r="P824" s="523"/>
      <c r="Q824" s="523"/>
      <c r="R824" s="523"/>
      <c r="S824" s="523"/>
      <c r="T824" s="523"/>
      <c r="U824" s="523"/>
      <c r="V824" s="523"/>
      <c r="W824" s="523"/>
      <c r="X824" s="523"/>
      <c r="Y824" s="523"/>
      <c r="Z824" s="523"/>
    </row>
    <row r="825" spans="1:26" ht="15.75" customHeight="1">
      <c r="A825" s="523"/>
      <c r="B825" s="523"/>
      <c r="C825" s="523"/>
      <c r="D825" s="523"/>
      <c r="E825" s="523"/>
      <c r="F825" s="523"/>
      <c r="G825" s="523"/>
      <c r="H825" s="524"/>
      <c r="I825" s="523"/>
      <c r="J825" s="523"/>
      <c r="K825" s="523"/>
      <c r="L825" s="523"/>
      <c r="M825" s="523"/>
      <c r="N825" s="523"/>
      <c r="O825" s="523"/>
      <c r="P825" s="523"/>
      <c r="Q825" s="523"/>
      <c r="R825" s="523"/>
      <c r="S825" s="523"/>
      <c r="T825" s="523"/>
      <c r="U825" s="523"/>
      <c r="V825" s="523"/>
      <c r="W825" s="523"/>
      <c r="X825" s="523"/>
      <c r="Y825" s="523"/>
      <c r="Z825" s="523"/>
    </row>
    <row r="826" spans="1:26" ht="15.75" customHeight="1">
      <c r="A826" s="523"/>
      <c r="B826" s="523"/>
      <c r="C826" s="523"/>
      <c r="D826" s="523"/>
      <c r="E826" s="523"/>
      <c r="F826" s="523"/>
      <c r="G826" s="523"/>
      <c r="H826" s="524"/>
      <c r="I826" s="523"/>
      <c r="J826" s="523"/>
      <c r="K826" s="523"/>
      <c r="L826" s="523"/>
      <c r="M826" s="523"/>
      <c r="N826" s="523"/>
      <c r="O826" s="523"/>
      <c r="P826" s="523"/>
      <c r="Q826" s="523"/>
      <c r="R826" s="523"/>
      <c r="S826" s="523"/>
      <c r="T826" s="523"/>
      <c r="U826" s="523"/>
      <c r="V826" s="523"/>
      <c r="W826" s="523"/>
      <c r="X826" s="523"/>
      <c r="Y826" s="523"/>
      <c r="Z826" s="523"/>
    </row>
    <row r="827" spans="1:26" ht="15.75" customHeight="1">
      <c r="A827" s="523"/>
      <c r="B827" s="523"/>
      <c r="C827" s="523"/>
      <c r="D827" s="523"/>
      <c r="E827" s="523"/>
      <c r="F827" s="523"/>
      <c r="G827" s="523"/>
      <c r="H827" s="524"/>
      <c r="I827" s="523"/>
      <c r="J827" s="523"/>
      <c r="K827" s="523"/>
      <c r="L827" s="523"/>
      <c r="M827" s="523"/>
      <c r="N827" s="523"/>
      <c r="O827" s="523"/>
      <c r="P827" s="523"/>
      <c r="Q827" s="523"/>
      <c r="R827" s="523"/>
      <c r="S827" s="523"/>
      <c r="T827" s="523"/>
      <c r="U827" s="523"/>
      <c r="V827" s="523"/>
      <c r="W827" s="523"/>
      <c r="X827" s="523"/>
      <c r="Y827" s="523"/>
      <c r="Z827" s="523"/>
    </row>
    <row r="828" spans="1:26" ht="15.75" customHeight="1">
      <c r="A828" s="523"/>
      <c r="B828" s="523"/>
      <c r="C828" s="523"/>
      <c r="D828" s="523"/>
      <c r="E828" s="523"/>
      <c r="F828" s="523"/>
      <c r="G828" s="523"/>
      <c r="H828" s="524"/>
      <c r="I828" s="523"/>
      <c r="J828" s="523"/>
      <c r="K828" s="523"/>
      <c r="L828" s="523"/>
      <c r="M828" s="523"/>
      <c r="N828" s="523"/>
      <c r="O828" s="523"/>
      <c r="P828" s="523"/>
      <c r="Q828" s="523"/>
      <c r="R828" s="523"/>
      <c r="S828" s="523"/>
      <c r="T828" s="523"/>
      <c r="U828" s="523"/>
      <c r="V828" s="523"/>
      <c r="W828" s="523"/>
      <c r="X828" s="523"/>
      <c r="Y828" s="523"/>
      <c r="Z828" s="523"/>
    </row>
    <row r="829" spans="1:26" ht="15.75" customHeight="1">
      <c r="A829" s="523"/>
      <c r="B829" s="523"/>
      <c r="C829" s="523"/>
      <c r="D829" s="523"/>
      <c r="E829" s="523"/>
      <c r="F829" s="523"/>
      <c r="G829" s="523"/>
      <c r="H829" s="524"/>
      <c r="I829" s="523"/>
      <c r="J829" s="523"/>
      <c r="K829" s="523"/>
      <c r="L829" s="523"/>
      <c r="M829" s="523"/>
      <c r="N829" s="523"/>
      <c r="O829" s="523"/>
      <c r="P829" s="523"/>
      <c r="Q829" s="523"/>
      <c r="R829" s="523"/>
      <c r="S829" s="523"/>
      <c r="T829" s="523"/>
      <c r="U829" s="523"/>
      <c r="V829" s="523"/>
      <c r="W829" s="523"/>
      <c r="X829" s="523"/>
      <c r="Y829" s="523"/>
      <c r="Z829" s="523"/>
    </row>
    <row r="830" spans="1:26" ht="15.75" customHeight="1">
      <c r="A830" s="523"/>
      <c r="B830" s="523"/>
      <c r="C830" s="523"/>
      <c r="D830" s="523"/>
      <c r="E830" s="523"/>
      <c r="F830" s="523"/>
      <c r="G830" s="523"/>
      <c r="H830" s="524"/>
      <c r="I830" s="523"/>
      <c r="J830" s="523"/>
      <c r="K830" s="523"/>
      <c r="L830" s="523"/>
      <c r="M830" s="523"/>
      <c r="N830" s="523"/>
      <c r="O830" s="523"/>
      <c r="P830" s="523"/>
      <c r="Q830" s="523"/>
      <c r="R830" s="523"/>
      <c r="S830" s="523"/>
      <c r="T830" s="523"/>
      <c r="U830" s="523"/>
      <c r="V830" s="523"/>
      <c r="W830" s="523"/>
      <c r="X830" s="523"/>
      <c r="Y830" s="523"/>
      <c r="Z830" s="523"/>
    </row>
    <row r="831" spans="1:26" ht="15.75" customHeight="1">
      <c r="A831" s="523"/>
      <c r="B831" s="523"/>
      <c r="C831" s="523"/>
      <c r="D831" s="523"/>
      <c r="E831" s="523"/>
      <c r="F831" s="523"/>
      <c r="G831" s="523"/>
      <c r="H831" s="524"/>
      <c r="I831" s="523"/>
      <c r="J831" s="523"/>
      <c r="K831" s="523"/>
      <c r="L831" s="523"/>
      <c r="M831" s="523"/>
      <c r="N831" s="523"/>
      <c r="O831" s="523"/>
      <c r="P831" s="523"/>
      <c r="Q831" s="523"/>
      <c r="R831" s="523"/>
      <c r="S831" s="523"/>
      <c r="T831" s="523"/>
      <c r="U831" s="523"/>
      <c r="V831" s="523"/>
      <c r="W831" s="523"/>
      <c r="X831" s="523"/>
      <c r="Y831" s="523"/>
      <c r="Z831" s="523"/>
    </row>
    <row r="832" spans="1:26" ht="15.75" customHeight="1">
      <c r="A832" s="523"/>
      <c r="B832" s="523"/>
      <c r="C832" s="523"/>
      <c r="D832" s="523"/>
      <c r="E832" s="523"/>
      <c r="F832" s="523"/>
      <c r="G832" s="523"/>
      <c r="H832" s="524"/>
      <c r="I832" s="523"/>
      <c r="J832" s="523"/>
      <c r="K832" s="523"/>
      <c r="L832" s="523"/>
      <c r="M832" s="523"/>
      <c r="N832" s="523"/>
      <c r="O832" s="523"/>
      <c r="P832" s="523"/>
      <c r="Q832" s="523"/>
      <c r="R832" s="523"/>
      <c r="S832" s="523"/>
      <c r="T832" s="523"/>
      <c r="U832" s="523"/>
      <c r="V832" s="523"/>
      <c r="W832" s="523"/>
      <c r="X832" s="523"/>
      <c r="Y832" s="523"/>
      <c r="Z832" s="523"/>
    </row>
    <row r="833" spans="1:26" ht="15.75" customHeight="1">
      <c r="A833" s="523"/>
      <c r="B833" s="523"/>
      <c r="C833" s="523"/>
      <c r="D833" s="523"/>
      <c r="E833" s="523"/>
      <c r="F833" s="523"/>
      <c r="G833" s="523"/>
      <c r="H833" s="524"/>
      <c r="I833" s="523"/>
      <c r="J833" s="523"/>
      <c r="K833" s="523"/>
      <c r="L833" s="523"/>
      <c r="M833" s="523"/>
      <c r="N833" s="523"/>
      <c r="O833" s="523"/>
      <c r="P833" s="523"/>
      <c r="Q833" s="523"/>
      <c r="R833" s="523"/>
      <c r="S833" s="523"/>
      <c r="T833" s="523"/>
      <c r="U833" s="523"/>
      <c r="V833" s="523"/>
      <c r="W833" s="523"/>
      <c r="X833" s="523"/>
      <c r="Y833" s="523"/>
      <c r="Z833" s="523"/>
    </row>
    <row r="834" spans="1:26" ht="15.75" customHeight="1">
      <c r="A834" s="523"/>
      <c r="B834" s="523"/>
      <c r="C834" s="523"/>
      <c r="D834" s="523"/>
      <c r="E834" s="523"/>
      <c r="F834" s="523"/>
      <c r="G834" s="523"/>
      <c r="H834" s="524"/>
      <c r="I834" s="523"/>
      <c r="J834" s="523"/>
      <c r="K834" s="523"/>
      <c r="L834" s="523"/>
      <c r="M834" s="523"/>
      <c r="N834" s="523"/>
      <c r="O834" s="523"/>
      <c r="P834" s="523"/>
      <c r="Q834" s="523"/>
      <c r="R834" s="523"/>
      <c r="S834" s="523"/>
      <c r="T834" s="523"/>
      <c r="U834" s="523"/>
      <c r="V834" s="523"/>
      <c r="W834" s="523"/>
      <c r="X834" s="523"/>
      <c r="Y834" s="523"/>
      <c r="Z834" s="523"/>
    </row>
    <row r="835" spans="1:26" ht="15.75" customHeight="1">
      <c r="A835" s="523"/>
      <c r="B835" s="523"/>
      <c r="C835" s="523"/>
      <c r="D835" s="523"/>
      <c r="E835" s="523"/>
      <c r="F835" s="523"/>
      <c r="G835" s="523"/>
      <c r="H835" s="524"/>
      <c r="I835" s="523"/>
      <c r="J835" s="523"/>
      <c r="K835" s="523"/>
      <c r="L835" s="523"/>
      <c r="M835" s="523"/>
      <c r="N835" s="523"/>
      <c r="O835" s="523"/>
      <c r="P835" s="523"/>
      <c r="Q835" s="523"/>
      <c r="R835" s="523"/>
      <c r="S835" s="523"/>
      <c r="T835" s="523"/>
      <c r="U835" s="523"/>
      <c r="V835" s="523"/>
      <c r="W835" s="523"/>
      <c r="X835" s="523"/>
      <c r="Y835" s="523"/>
      <c r="Z835" s="523"/>
    </row>
    <row r="836" spans="1:26" ht="15.75" customHeight="1">
      <c r="A836" s="523"/>
      <c r="B836" s="523"/>
      <c r="C836" s="523"/>
      <c r="D836" s="523"/>
      <c r="E836" s="523"/>
      <c r="F836" s="523"/>
      <c r="G836" s="523"/>
      <c r="H836" s="524"/>
      <c r="I836" s="523"/>
      <c r="J836" s="523"/>
      <c r="K836" s="523"/>
      <c r="L836" s="523"/>
      <c r="M836" s="523"/>
      <c r="N836" s="523"/>
      <c r="O836" s="523"/>
      <c r="P836" s="523"/>
      <c r="Q836" s="523"/>
      <c r="R836" s="523"/>
      <c r="S836" s="523"/>
      <c r="T836" s="523"/>
      <c r="U836" s="523"/>
      <c r="V836" s="523"/>
      <c r="W836" s="523"/>
      <c r="X836" s="523"/>
      <c r="Y836" s="523"/>
      <c r="Z836" s="523"/>
    </row>
    <row r="837" spans="1:26" ht="15.75" customHeight="1">
      <c r="A837" s="523"/>
      <c r="B837" s="523"/>
      <c r="C837" s="523"/>
      <c r="D837" s="523"/>
      <c r="E837" s="523"/>
      <c r="F837" s="523"/>
      <c r="G837" s="523"/>
      <c r="H837" s="524"/>
      <c r="I837" s="523"/>
      <c r="J837" s="523"/>
      <c r="K837" s="523"/>
      <c r="L837" s="523"/>
      <c r="M837" s="523"/>
      <c r="N837" s="523"/>
      <c r="O837" s="523"/>
      <c r="P837" s="523"/>
      <c r="Q837" s="523"/>
      <c r="R837" s="523"/>
      <c r="S837" s="523"/>
      <c r="T837" s="523"/>
      <c r="U837" s="523"/>
      <c r="V837" s="523"/>
      <c r="W837" s="523"/>
      <c r="X837" s="523"/>
      <c r="Y837" s="523"/>
      <c r="Z837" s="523"/>
    </row>
    <row r="838" spans="1:26" ht="15.75" customHeight="1">
      <c r="A838" s="523"/>
      <c r="B838" s="523"/>
      <c r="C838" s="523"/>
      <c r="D838" s="523"/>
      <c r="E838" s="523"/>
      <c r="F838" s="523"/>
      <c r="G838" s="523"/>
      <c r="H838" s="524"/>
      <c r="I838" s="523"/>
      <c r="J838" s="523"/>
      <c r="K838" s="523"/>
      <c r="L838" s="523"/>
      <c r="M838" s="523"/>
      <c r="N838" s="523"/>
      <c r="O838" s="523"/>
      <c r="P838" s="523"/>
      <c r="Q838" s="523"/>
      <c r="R838" s="523"/>
      <c r="S838" s="523"/>
      <c r="T838" s="523"/>
      <c r="U838" s="523"/>
      <c r="V838" s="523"/>
      <c r="W838" s="523"/>
      <c r="X838" s="523"/>
      <c r="Y838" s="523"/>
      <c r="Z838" s="523"/>
    </row>
    <row r="839" spans="1:26" ht="15.75" customHeight="1">
      <c r="A839" s="523"/>
      <c r="B839" s="523"/>
      <c r="C839" s="523"/>
      <c r="D839" s="523"/>
      <c r="E839" s="523"/>
      <c r="F839" s="523"/>
      <c r="G839" s="523"/>
      <c r="H839" s="524"/>
      <c r="I839" s="523"/>
      <c r="J839" s="523"/>
      <c r="K839" s="523"/>
      <c r="L839" s="523"/>
      <c r="M839" s="523"/>
      <c r="N839" s="523"/>
      <c r="O839" s="523"/>
      <c r="P839" s="523"/>
      <c r="Q839" s="523"/>
      <c r="R839" s="523"/>
      <c r="S839" s="523"/>
      <c r="T839" s="523"/>
      <c r="U839" s="523"/>
      <c r="V839" s="523"/>
      <c r="W839" s="523"/>
      <c r="X839" s="523"/>
      <c r="Y839" s="523"/>
      <c r="Z839" s="523"/>
    </row>
    <row r="840" spans="1:26" ht="15.75" customHeight="1">
      <c r="A840" s="523"/>
      <c r="B840" s="523"/>
      <c r="C840" s="523"/>
      <c r="D840" s="523"/>
      <c r="E840" s="523"/>
      <c r="F840" s="523"/>
      <c r="G840" s="523"/>
      <c r="H840" s="524"/>
      <c r="I840" s="523"/>
      <c r="J840" s="523"/>
      <c r="K840" s="523"/>
      <c r="L840" s="523"/>
      <c r="M840" s="523"/>
      <c r="N840" s="523"/>
      <c r="O840" s="523"/>
      <c r="P840" s="523"/>
      <c r="Q840" s="523"/>
      <c r="R840" s="523"/>
      <c r="S840" s="523"/>
      <c r="T840" s="523"/>
      <c r="U840" s="523"/>
      <c r="V840" s="523"/>
      <c r="W840" s="523"/>
      <c r="X840" s="523"/>
      <c r="Y840" s="523"/>
      <c r="Z840" s="523"/>
    </row>
    <row r="841" spans="1:26" ht="15.75" customHeight="1">
      <c r="A841" s="523"/>
      <c r="B841" s="523"/>
      <c r="C841" s="523"/>
      <c r="D841" s="523"/>
      <c r="E841" s="523"/>
      <c r="F841" s="523"/>
      <c r="G841" s="523"/>
      <c r="H841" s="524"/>
      <c r="I841" s="523"/>
      <c r="J841" s="523"/>
      <c r="K841" s="523"/>
      <c r="L841" s="523"/>
      <c r="M841" s="523"/>
      <c r="N841" s="523"/>
      <c r="O841" s="523"/>
      <c r="P841" s="523"/>
      <c r="Q841" s="523"/>
      <c r="R841" s="523"/>
      <c r="S841" s="523"/>
      <c r="T841" s="523"/>
      <c r="U841" s="523"/>
      <c r="V841" s="523"/>
      <c r="W841" s="523"/>
      <c r="X841" s="523"/>
      <c r="Y841" s="523"/>
      <c r="Z841" s="523"/>
    </row>
    <row r="842" spans="1:26" ht="15.75" customHeight="1">
      <c r="A842" s="523"/>
      <c r="B842" s="523"/>
      <c r="C842" s="523"/>
      <c r="D842" s="523"/>
      <c r="E842" s="523"/>
      <c r="F842" s="523"/>
      <c r="G842" s="523"/>
      <c r="H842" s="524"/>
      <c r="I842" s="523"/>
      <c r="J842" s="523"/>
      <c r="K842" s="523"/>
      <c r="L842" s="523"/>
      <c r="M842" s="523"/>
      <c r="N842" s="523"/>
      <c r="O842" s="523"/>
      <c r="P842" s="523"/>
      <c r="Q842" s="523"/>
      <c r="R842" s="523"/>
      <c r="S842" s="523"/>
      <c r="T842" s="523"/>
      <c r="U842" s="523"/>
      <c r="V842" s="523"/>
      <c r="W842" s="523"/>
      <c r="X842" s="523"/>
      <c r="Y842" s="523"/>
      <c r="Z842" s="523"/>
    </row>
    <row r="843" spans="1:26" ht="15.75" customHeight="1">
      <c r="A843" s="523"/>
      <c r="B843" s="523"/>
      <c r="C843" s="523"/>
      <c r="D843" s="523"/>
      <c r="E843" s="523"/>
      <c r="F843" s="523"/>
      <c r="G843" s="523"/>
      <c r="H843" s="524"/>
      <c r="I843" s="523"/>
      <c r="J843" s="523"/>
      <c r="K843" s="523"/>
      <c r="L843" s="523"/>
      <c r="M843" s="523"/>
      <c r="N843" s="523"/>
      <c r="O843" s="523"/>
      <c r="P843" s="523"/>
      <c r="Q843" s="523"/>
      <c r="R843" s="523"/>
      <c r="S843" s="523"/>
      <c r="T843" s="523"/>
      <c r="U843" s="523"/>
      <c r="V843" s="523"/>
      <c r="W843" s="523"/>
      <c r="X843" s="523"/>
      <c r="Y843" s="523"/>
      <c r="Z843" s="523"/>
    </row>
    <row r="844" spans="1:26" ht="15.75" customHeight="1">
      <c r="A844" s="523"/>
      <c r="B844" s="523"/>
      <c r="C844" s="523"/>
      <c r="D844" s="523"/>
      <c r="E844" s="523"/>
      <c r="F844" s="523"/>
      <c r="G844" s="523"/>
      <c r="H844" s="524"/>
      <c r="I844" s="523"/>
      <c r="J844" s="523"/>
      <c r="K844" s="523"/>
      <c r="L844" s="523"/>
      <c r="M844" s="523"/>
      <c r="N844" s="523"/>
      <c r="O844" s="523"/>
      <c r="P844" s="523"/>
      <c r="Q844" s="523"/>
      <c r="R844" s="523"/>
      <c r="S844" s="523"/>
      <c r="T844" s="523"/>
      <c r="U844" s="523"/>
      <c r="V844" s="523"/>
      <c r="W844" s="523"/>
      <c r="X844" s="523"/>
      <c r="Y844" s="523"/>
      <c r="Z844" s="523"/>
    </row>
    <row r="845" spans="1:26" ht="15.75" customHeight="1">
      <c r="A845" s="523"/>
      <c r="B845" s="523"/>
      <c r="C845" s="523"/>
      <c r="D845" s="523"/>
      <c r="E845" s="523"/>
      <c r="F845" s="523"/>
      <c r="G845" s="523"/>
      <c r="H845" s="524"/>
      <c r="I845" s="523"/>
      <c r="J845" s="523"/>
      <c r="K845" s="523"/>
      <c r="L845" s="523"/>
      <c r="M845" s="523"/>
      <c r="N845" s="523"/>
      <c r="O845" s="523"/>
      <c r="P845" s="523"/>
      <c r="Q845" s="523"/>
      <c r="R845" s="523"/>
      <c r="S845" s="523"/>
      <c r="T845" s="523"/>
      <c r="U845" s="523"/>
      <c r="V845" s="523"/>
      <c r="W845" s="523"/>
      <c r="X845" s="523"/>
      <c r="Y845" s="523"/>
      <c r="Z845" s="523"/>
    </row>
    <row r="846" spans="1:26" ht="15.75" customHeight="1">
      <c r="A846" s="523"/>
      <c r="B846" s="523"/>
      <c r="C846" s="523"/>
      <c r="D846" s="523"/>
      <c r="E846" s="523"/>
      <c r="F846" s="523"/>
      <c r="G846" s="523"/>
      <c r="H846" s="524"/>
      <c r="I846" s="523"/>
      <c r="J846" s="523"/>
      <c r="K846" s="523"/>
      <c r="L846" s="523"/>
      <c r="M846" s="523"/>
      <c r="N846" s="523"/>
      <c r="O846" s="523"/>
      <c r="P846" s="523"/>
      <c r="Q846" s="523"/>
      <c r="R846" s="523"/>
      <c r="S846" s="523"/>
      <c r="T846" s="523"/>
      <c r="U846" s="523"/>
      <c r="V846" s="523"/>
      <c r="W846" s="523"/>
      <c r="X846" s="523"/>
      <c r="Y846" s="523"/>
      <c r="Z846" s="523"/>
    </row>
    <row r="847" spans="1:26" ht="15.75" customHeight="1">
      <c r="A847" s="523"/>
      <c r="B847" s="523"/>
      <c r="C847" s="523"/>
      <c r="D847" s="523"/>
      <c r="E847" s="523"/>
      <c r="F847" s="523"/>
      <c r="G847" s="523"/>
      <c r="H847" s="524"/>
      <c r="I847" s="523"/>
      <c r="J847" s="523"/>
      <c r="K847" s="523"/>
      <c r="L847" s="523"/>
      <c r="M847" s="523"/>
      <c r="N847" s="523"/>
      <c r="O847" s="523"/>
      <c r="P847" s="523"/>
      <c r="Q847" s="523"/>
      <c r="R847" s="523"/>
      <c r="S847" s="523"/>
      <c r="T847" s="523"/>
      <c r="U847" s="523"/>
      <c r="V847" s="523"/>
      <c r="W847" s="523"/>
      <c r="X847" s="523"/>
      <c r="Y847" s="523"/>
      <c r="Z847" s="523"/>
    </row>
    <row r="848" spans="1:26" ht="15.75" customHeight="1">
      <c r="A848" s="523"/>
      <c r="B848" s="523"/>
      <c r="C848" s="523"/>
      <c r="D848" s="523"/>
      <c r="E848" s="523"/>
      <c r="F848" s="523"/>
      <c r="G848" s="523"/>
      <c r="H848" s="524"/>
      <c r="I848" s="523"/>
      <c r="J848" s="523"/>
      <c r="K848" s="523"/>
      <c r="L848" s="523"/>
      <c r="M848" s="523"/>
      <c r="N848" s="523"/>
      <c r="O848" s="523"/>
      <c r="P848" s="523"/>
      <c r="Q848" s="523"/>
      <c r="R848" s="523"/>
      <c r="S848" s="523"/>
      <c r="T848" s="523"/>
      <c r="U848" s="523"/>
      <c r="V848" s="523"/>
      <c r="W848" s="523"/>
      <c r="X848" s="523"/>
      <c r="Y848" s="523"/>
      <c r="Z848" s="523"/>
    </row>
    <row r="849" spans="1:26" ht="15.75" customHeight="1">
      <c r="A849" s="523"/>
      <c r="B849" s="523"/>
      <c r="C849" s="523"/>
      <c r="D849" s="523"/>
      <c r="E849" s="523"/>
      <c r="F849" s="523"/>
      <c r="G849" s="523"/>
      <c r="H849" s="524"/>
      <c r="I849" s="523"/>
      <c r="J849" s="523"/>
      <c r="K849" s="523"/>
      <c r="L849" s="523"/>
      <c r="M849" s="523"/>
      <c r="N849" s="523"/>
      <c r="O849" s="523"/>
      <c r="P849" s="523"/>
      <c r="Q849" s="523"/>
      <c r="R849" s="523"/>
      <c r="S849" s="523"/>
      <c r="T849" s="523"/>
      <c r="U849" s="523"/>
      <c r="V849" s="523"/>
      <c r="W849" s="523"/>
      <c r="X849" s="523"/>
      <c r="Y849" s="523"/>
      <c r="Z849" s="523"/>
    </row>
    <row r="850" spans="1:26" ht="15.75" customHeight="1">
      <c r="A850" s="523"/>
      <c r="B850" s="523"/>
      <c r="C850" s="523"/>
      <c r="D850" s="523"/>
      <c r="E850" s="523"/>
      <c r="F850" s="523"/>
      <c r="G850" s="523"/>
      <c r="H850" s="524"/>
      <c r="I850" s="523"/>
      <c r="J850" s="523"/>
      <c r="K850" s="523"/>
      <c r="L850" s="523"/>
      <c r="M850" s="523"/>
      <c r="N850" s="523"/>
      <c r="O850" s="523"/>
      <c r="P850" s="523"/>
      <c r="Q850" s="523"/>
      <c r="R850" s="523"/>
      <c r="S850" s="523"/>
      <c r="T850" s="523"/>
      <c r="U850" s="523"/>
      <c r="V850" s="523"/>
      <c r="W850" s="523"/>
      <c r="X850" s="523"/>
      <c r="Y850" s="523"/>
      <c r="Z850" s="523"/>
    </row>
    <row r="851" spans="1:26" ht="15.75" customHeight="1">
      <c r="A851" s="523"/>
      <c r="B851" s="523"/>
      <c r="C851" s="523"/>
      <c r="D851" s="523"/>
      <c r="E851" s="523"/>
      <c r="F851" s="523"/>
      <c r="G851" s="523"/>
      <c r="H851" s="524"/>
      <c r="I851" s="523"/>
      <c r="J851" s="523"/>
      <c r="K851" s="523"/>
      <c r="L851" s="523"/>
      <c r="M851" s="523"/>
      <c r="N851" s="523"/>
      <c r="O851" s="523"/>
      <c r="P851" s="523"/>
      <c r="Q851" s="523"/>
      <c r="R851" s="523"/>
      <c r="S851" s="523"/>
      <c r="T851" s="523"/>
      <c r="U851" s="523"/>
      <c r="V851" s="523"/>
      <c r="W851" s="523"/>
      <c r="X851" s="523"/>
      <c r="Y851" s="523"/>
      <c r="Z851" s="523"/>
    </row>
    <row r="852" spans="1:26" ht="15.75" customHeight="1">
      <c r="A852" s="523"/>
      <c r="B852" s="523"/>
      <c r="C852" s="523"/>
      <c r="D852" s="523"/>
      <c r="E852" s="523"/>
      <c r="F852" s="523"/>
      <c r="G852" s="523"/>
      <c r="H852" s="524"/>
      <c r="I852" s="523"/>
      <c r="J852" s="523"/>
      <c r="K852" s="523"/>
      <c r="L852" s="523"/>
      <c r="M852" s="523"/>
      <c r="N852" s="523"/>
      <c r="O852" s="523"/>
      <c r="P852" s="523"/>
      <c r="Q852" s="523"/>
      <c r="R852" s="523"/>
      <c r="S852" s="523"/>
      <c r="T852" s="523"/>
      <c r="U852" s="523"/>
      <c r="V852" s="523"/>
      <c r="W852" s="523"/>
      <c r="X852" s="523"/>
      <c r="Y852" s="523"/>
      <c r="Z852" s="523"/>
    </row>
    <row r="853" spans="1:26" ht="15.75" customHeight="1">
      <c r="A853" s="523"/>
      <c r="B853" s="523"/>
      <c r="C853" s="523"/>
      <c r="D853" s="523"/>
      <c r="E853" s="523"/>
      <c r="F853" s="523"/>
      <c r="G853" s="523"/>
      <c r="H853" s="524"/>
      <c r="I853" s="523"/>
      <c r="J853" s="523"/>
      <c r="K853" s="523"/>
      <c r="L853" s="523"/>
      <c r="M853" s="523"/>
      <c r="N853" s="523"/>
      <c r="O853" s="523"/>
      <c r="P853" s="523"/>
      <c r="Q853" s="523"/>
      <c r="R853" s="523"/>
      <c r="S853" s="523"/>
      <c r="T853" s="523"/>
      <c r="U853" s="523"/>
      <c r="V853" s="523"/>
      <c r="W853" s="523"/>
      <c r="X853" s="523"/>
      <c r="Y853" s="523"/>
      <c r="Z853" s="523"/>
    </row>
    <row r="854" spans="1:26" ht="15.75" customHeight="1">
      <c r="A854" s="523"/>
      <c r="B854" s="523"/>
      <c r="C854" s="523"/>
      <c r="D854" s="523"/>
      <c r="E854" s="523"/>
      <c r="F854" s="523"/>
      <c r="G854" s="523"/>
      <c r="H854" s="524"/>
      <c r="I854" s="523"/>
      <c r="J854" s="523"/>
      <c r="K854" s="523"/>
      <c r="L854" s="523"/>
      <c r="M854" s="523"/>
      <c r="N854" s="523"/>
      <c r="O854" s="523"/>
      <c r="P854" s="523"/>
      <c r="Q854" s="523"/>
      <c r="R854" s="523"/>
      <c r="S854" s="523"/>
      <c r="T854" s="523"/>
      <c r="U854" s="523"/>
      <c r="V854" s="523"/>
      <c r="W854" s="523"/>
      <c r="X854" s="523"/>
      <c r="Y854" s="523"/>
      <c r="Z854" s="523"/>
    </row>
    <row r="855" spans="1:26" ht="15.75" customHeight="1">
      <c r="A855" s="523"/>
      <c r="B855" s="523"/>
      <c r="C855" s="523"/>
      <c r="D855" s="523"/>
      <c r="E855" s="523"/>
      <c r="F855" s="523"/>
      <c r="G855" s="523"/>
      <c r="H855" s="524"/>
      <c r="I855" s="523"/>
      <c r="J855" s="523"/>
      <c r="K855" s="523"/>
      <c r="L855" s="523"/>
      <c r="M855" s="523"/>
      <c r="N855" s="523"/>
      <c r="O855" s="523"/>
      <c r="P855" s="523"/>
      <c r="Q855" s="523"/>
      <c r="R855" s="523"/>
      <c r="S855" s="523"/>
      <c r="T855" s="523"/>
      <c r="U855" s="523"/>
      <c r="V855" s="523"/>
      <c r="W855" s="523"/>
      <c r="X855" s="523"/>
      <c r="Y855" s="523"/>
      <c r="Z855" s="523"/>
    </row>
    <row r="856" spans="1:26" ht="15.75" customHeight="1">
      <c r="A856" s="523"/>
      <c r="B856" s="523"/>
      <c r="C856" s="523"/>
      <c r="D856" s="523"/>
      <c r="E856" s="523"/>
      <c r="F856" s="523"/>
      <c r="G856" s="523"/>
      <c r="H856" s="524"/>
      <c r="I856" s="523"/>
      <c r="J856" s="523"/>
      <c r="K856" s="523"/>
      <c r="L856" s="523"/>
      <c r="M856" s="523"/>
      <c r="N856" s="523"/>
      <c r="O856" s="523"/>
      <c r="P856" s="523"/>
      <c r="Q856" s="523"/>
      <c r="R856" s="523"/>
      <c r="S856" s="523"/>
      <c r="T856" s="523"/>
      <c r="U856" s="523"/>
      <c r="V856" s="523"/>
      <c r="W856" s="523"/>
      <c r="X856" s="523"/>
      <c r="Y856" s="523"/>
      <c r="Z856" s="523"/>
    </row>
    <row r="857" spans="1:26" ht="15.75" customHeight="1">
      <c r="A857" s="523"/>
      <c r="B857" s="523"/>
      <c r="C857" s="523"/>
      <c r="D857" s="523"/>
      <c r="E857" s="523"/>
      <c r="F857" s="523"/>
      <c r="G857" s="523"/>
      <c r="H857" s="524"/>
      <c r="I857" s="523"/>
      <c r="J857" s="523"/>
      <c r="K857" s="523"/>
      <c r="L857" s="523"/>
      <c r="M857" s="523"/>
      <c r="N857" s="523"/>
      <c r="O857" s="523"/>
      <c r="P857" s="523"/>
      <c r="Q857" s="523"/>
      <c r="R857" s="523"/>
      <c r="S857" s="523"/>
      <c r="T857" s="523"/>
      <c r="U857" s="523"/>
      <c r="V857" s="523"/>
      <c r="W857" s="523"/>
      <c r="X857" s="523"/>
      <c r="Y857" s="523"/>
      <c r="Z857" s="523"/>
    </row>
    <row r="858" spans="1:26" ht="15.75" customHeight="1">
      <c r="A858" s="523"/>
      <c r="B858" s="523"/>
      <c r="C858" s="523"/>
      <c r="D858" s="523"/>
      <c r="E858" s="523"/>
      <c r="F858" s="523"/>
      <c r="G858" s="523"/>
      <c r="H858" s="524"/>
      <c r="I858" s="523"/>
      <c r="J858" s="523"/>
      <c r="K858" s="523"/>
      <c r="L858" s="523"/>
      <c r="M858" s="523"/>
      <c r="N858" s="523"/>
      <c r="O858" s="523"/>
      <c r="P858" s="523"/>
      <c r="Q858" s="523"/>
      <c r="R858" s="523"/>
      <c r="S858" s="523"/>
      <c r="T858" s="523"/>
      <c r="U858" s="523"/>
      <c r="V858" s="523"/>
      <c r="W858" s="523"/>
      <c r="X858" s="523"/>
      <c r="Y858" s="523"/>
      <c r="Z858" s="523"/>
    </row>
    <row r="859" spans="1:26" ht="15.75" customHeight="1">
      <c r="A859" s="523"/>
      <c r="B859" s="523"/>
      <c r="C859" s="523"/>
      <c r="D859" s="523"/>
      <c r="E859" s="523"/>
      <c r="F859" s="523"/>
      <c r="G859" s="523"/>
      <c r="H859" s="524"/>
      <c r="I859" s="523"/>
      <c r="J859" s="523"/>
      <c r="K859" s="523"/>
      <c r="L859" s="523"/>
      <c r="M859" s="523"/>
      <c r="N859" s="523"/>
      <c r="O859" s="523"/>
      <c r="P859" s="523"/>
      <c r="Q859" s="523"/>
      <c r="R859" s="523"/>
      <c r="S859" s="523"/>
      <c r="T859" s="523"/>
      <c r="U859" s="523"/>
      <c r="V859" s="523"/>
      <c r="W859" s="523"/>
      <c r="X859" s="523"/>
      <c r="Y859" s="523"/>
      <c r="Z859" s="523"/>
    </row>
    <row r="860" spans="1:26" ht="15.75" customHeight="1">
      <c r="A860" s="523"/>
      <c r="B860" s="523"/>
      <c r="C860" s="523"/>
      <c r="D860" s="523"/>
      <c r="E860" s="523"/>
      <c r="F860" s="523"/>
      <c r="G860" s="523"/>
      <c r="H860" s="524"/>
      <c r="I860" s="523"/>
      <c r="J860" s="523"/>
      <c r="K860" s="523"/>
      <c r="L860" s="523"/>
      <c r="M860" s="523"/>
      <c r="N860" s="523"/>
      <c r="O860" s="523"/>
      <c r="P860" s="523"/>
      <c r="Q860" s="523"/>
      <c r="R860" s="523"/>
      <c r="S860" s="523"/>
      <c r="T860" s="523"/>
      <c r="U860" s="523"/>
      <c r="V860" s="523"/>
      <c r="W860" s="523"/>
      <c r="X860" s="523"/>
      <c r="Y860" s="523"/>
      <c r="Z860" s="523"/>
    </row>
    <row r="861" spans="1:26" ht="15.75" customHeight="1">
      <c r="A861" s="523"/>
      <c r="B861" s="523"/>
      <c r="C861" s="523"/>
      <c r="D861" s="523"/>
      <c r="E861" s="523"/>
      <c r="F861" s="523"/>
      <c r="G861" s="523"/>
      <c r="H861" s="524"/>
      <c r="I861" s="523"/>
      <c r="J861" s="523"/>
      <c r="K861" s="523"/>
      <c r="L861" s="523"/>
      <c r="M861" s="523"/>
      <c r="N861" s="523"/>
      <c r="O861" s="523"/>
      <c r="P861" s="523"/>
      <c r="Q861" s="523"/>
      <c r="R861" s="523"/>
      <c r="S861" s="523"/>
      <c r="T861" s="523"/>
      <c r="U861" s="523"/>
      <c r="V861" s="523"/>
      <c r="W861" s="523"/>
      <c r="X861" s="523"/>
      <c r="Y861" s="523"/>
      <c r="Z861" s="523"/>
    </row>
    <row r="862" spans="1:26" ht="15.75" customHeight="1">
      <c r="A862" s="523"/>
      <c r="B862" s="523"/>
      <c r="C862" s="523"/>
      <c r="D862" s="523"/>
      <c r="E862" s="523"/>
      <c r="F862" s="523"/>
      <c r="G862" s="523"/>
      <c r="H862" s="524"/>
      <c r="I862" s="523"/>
      <c r="J862" s="523"/>
      <c r="K862" s="523"/>
      <c r="L862" s="523"/>
      <c r="M862" s="523"/>
      <c r="N862" s="523"/>
      <c r="O862" s="523"/>
      <c r="P862" s="523"/>
      <c r="Q862" s="523"/>
      <c r="R862" s="523"/>
      <c r="S862" s="523"/>
      <c r="T862" s="523"/>
      <c r="U862" s="523"/>
      <c r="V862" s="523"/>
      <c r="W862" s="523"/>
      <c r="X862" s="523"/>
      <c r="Y862" s="523"/>
      <c r="Z862" s="523"/>
    </row>
    <row r="863" spans="1:26" ht="15.75" customHeight="1">
      <c r="A863" s="523"/>
      <c r="B863" s="523"/>
      <c r="C863" s="523"/>
      <c r="D863" s="523"/>
      <c r="E863" s="523"/>
      <c r="F863" s="523"/>
      <c r="G863" s="523"/>
      <c r="H863" s="524"/>
      <c r="I863" s="523"/>
      <c r="J863" s="523"/>
      <c r="K863" s="523"/>
      <c r="L863" s="523"/>
      <c r="M863" s="523"/>
      <c r="N863" s="523"/>
      <c r="O863" s="523"/>
      <c r="P863" s="523"/>
      <c r="Q863" s="523"/>
      <c r="R863" s="523"/>
      <c r="S863" s="523"/>
      <c r="T863" s="523"/>
      <c r="U863" s="523"/>
      <c r="V863" s="523"/>
      <c r="W863" s="523"/>
      <c r="X863" s="523"/>
      <c r="Y863" s="523"/>
      <c r="Z863" s="523"/>
    </row>
    <row r="864" spans="1:26" ht="15.75" customHeight="1">
      <c r="A864" s="523"/>
      <c r="B864" s="523"/>
      <c r="C864" s="523"/>
      <c r="D864" s="523"/>
      <c r="E864" s="523"/>
      <c r="F864" s="523"/>
      <c r="G864" s="523"/>
      <c r="H864" s="524"/>
      <c r="I864" s="523"/>
      <c r="J864" s="523"/>
      <c r="K864" s="523"/>
      <c r="L864" s="523"/>
      <c r="M864" s="523"/>
      <c r="N864" s="523"/>
      <c r="O864" s="523"/>
      <c r="P864" s="523"/>
      <c r="Q864" s="523"/>
      <c r="R864" s="523"/>
      <c r="S864" s="523"/>
      <c r="T864" s="523"/>
      <c r="U864" s="523"/>
      <c r="V864" s="523"/>
      <c r="W864" s="523"/>
      <c r="X864" s="523"/>
      <c r="Y864" s="523"/>
      <c r="Z864" s="523"/>
    </row>
    <row r="865" spans="1:26" ht="15.75" customHeight="1">
      <c r="A865" s="523"/>
      <c r="B865" s="523"/>
      <c r="C865" s="523"/>
      <c r="D865" s="523"/>
      <c r="E865" s="523"/>
      <c r="F865" s="523"/>
      <c r="G865" s="523"/>
      <c r="H865" s="524"/>
      <c r="I865" s="523"/>
      <c r="J865" s="523"/>
      <c r="K865" s="523"/>
      <c r="L865" s="523"/>
      <c r="M865" s="523"/>
      <c r="N865" s="523"/>
      <c r="O865" s="523"/>
      <c r="P865" s="523"/>
      <c r="Q865" s="523"/>
      <c r="R865" s="523"/>
      <c r="S865" s="523"/>
      <c r="T865" s="523"/>
      <c r="U865" s="523"/>
      <c r="V865" s="523"/>
      <c r="W865" s="523"/>
      <c r="X865" s="523"/>
      <c r="Y865" s="523"/>
      <c r="Z865" s="523"/>
    </row>
    <row r="866" spans="1:26" ht="15.75" customHeight="1">
      <c r="A866" s="523"/>
      <c r="B866" s="523"/>
      <c r="C866" s="523"/>
      <c r="D866" s="523"/>
      <c r="E866" s="523"/>
      <c r="F866" s="523"/>
      <c r="G866" s="523"/>
      <c r="H866" s="524"/>
      <c r="I866" s="523"/>
      <c r="J866" s="523"/>
      <c r="K866" s="523"/>
      <c r="L866" s="523"/>
      <c r="M866" s="523"/>
      <c r="N866" s="523"/>
      <c r="O866" s="523"/>
      <c r="P866" s="523"/>
      <c r="Q866" s="523"/>
      <c r="R866" s="523"/>
      <c r="S866" s="523"/>
      <c r="T866" s="523"/>
      <c r="U866" s="523"/>
      <c r="V866" s="523"/>
      <c r="W866" s="523"/>
      <c r="X866" s="523"/>
      <c r="Y866" s="523"/>
      <c r="Z866" s="523"/>
    </row>
    <row r="867" spans="1:26" ht="15.75" customHeight="1">
      <c r="A867" s="523"/>
      <c r="B867" s="523"/>
      <c r="C867" s="523"/>
      <c r="D867" s="523"/>
      <c r="E867" s="523"/>
      <c r="F867" s="523"/>
      <c r="G867" s="523"/>
      <c r="H867" s="524"/>
      <c r="I867" s="523"/>
      <c r="J867" s="523"/>
      <c r="K867" s="523"/>
      <c r="L867" s="523"/>
      <c r="M867" s="523"/>
      <c r="N867" s="523"/>
      <c r="O867" s="523"/>
      <c r="P867" s="523"/>
      <c r="Q867" s="523"/>
      <c r="R867" s="523"/>
      <c r="S867" s="523"/>
      <c r="T867" s="523"/>
      <c r="U867" s="523"/>
      <c r="V867" s="523"/>
      <c r="W867" s="523"/>
      <c r="X867" s="523"/>
      <c r="Y867" s="523"/>
      <c r="Z867" s="523"/>
    </row>
    <row r="868" spans="1:26" ht="15.75" customHeight="1">
      <c r="A868" s="523"/>
      <c r="B868" s="523"/>
      <c r="C868" s="523"/>
      <c r="D868" s="523"/>
      <c r="E868" s="523"/>
      <c r="F868" s="523"/>
      <c r="G868" s="523"/>
      <c r="H868" s="524"/>
      <c r="I868" s="523"/>
      <c r="J868" s="523"/>
      <c r="K868" s="523"/>
      <c r="L868" s="523"/>
      <c r="M868" s="523"/>
      <c r="N868" s="523"/>
      <c r="O868" s="523"/>
      <c r="P868" s="523"/>
      <c r="Q868" s="523"/>
      <c r="R868" s="523"/>
      <c r="S868" s="523"/>
      <c r="T868" s="523"/>
      <c r="U868" s="523"/>
      <c r="V868" s="523"/>
      <c r="W868" s="523"/>
      <c r="X868" s="523"/>
      <c r="Y868" s="523"/>
      <c r="Z868" s="523"/>
    </row>
    <row r="869" spans="1:26" ht="15.75" customHeight="1">
      <c r="A869" s="523"/>
      <c r="B869" s="523"/>
      <c r="C869" s="523"/>
      <c r="D869" s="523"/>
      <c r="E869" s="523"/>
      <c r="F869" s="523"/>
      <c r="G869" s="523"/>
      <c r="H869" s="524"/>
      <c r="I869" s="523"/>
      <c r="J869" s="523"/>
      <c r="K869" s="523"/>
      <c r="L869" s="523"/>
      <c r="M869" s="523"/>
      <c r="N869" s="523"/>
      <c r="O869" s="523"/>
      <c r="P869" s="523"/>
      <c r="Q869" s="523"/>
      <c r="R869" s="523"/>
      <c r="S869" s="523"/>
      <c r="T869" s="523"/>
      <c r="U869" s="523"/>
      <c r="V869" s="523"/>
      <c r="W869" s="523"/>
      <c r="X869" s="523"/>
      <c r="Y869" s="523"/>
      <c r="Z869" s="523"/>
    </row>
    <row r="870" spans="1:26" ht="15.75" customHeight="1">
      <c r="A870" s="523"/>
      <c r="B870" s="523"/>
      <c r="C870" s="523"/>
      <c r="D870" s="523"/>
      <c r="E870" s="523"/>
      <c r="F870" s="523"/>
      <c r="G870" s="523"/>
      <c r="H870" s="524"/>
      <c r="I870" s="523"/>
      <c r="J870" s="523"/>
      <c r="K870" s="523"/>
      <c r="L870" s="523"/>
      <c r="M870" s="523"/>
      <c r="N870" s="523"/>
      <c r="O870" s="523"/>
      <c r="P870" s="523"/>
      <c r="Q870" s="523"/>
      <c r="R870" s="523"/>
      <c r="S870" s="523"/>
      <c r="T870" s="523"/>
      <c r="U870" s="523"/>
      <c r="V870" s="523"/>
      <c r="W870" s="523"/>
      <c r="X870" s="523"/>
      <c r="Y870" s="523"/>
      <c r="Z870" s="523"/>
    </row>
    <row r="871" spans="1:26" ht="15.75" customHeight="1">
      <c r="A871" s="523"/>
      <c r="B871" s="523"/>
      <c r="C871" s="523"/>
      <c r="D871" s="523"/>
      <c r="E871" s="523"/>
      <c r="F871" s="523"/>
      <c r="G871" s="523"/>
      <c r="H871" s="524"/>
      <c r="I871" s="523"/>
      <c r="J871" s="523"/>
      <c r="K871" s="523"/>
      <c r="L871" s="523"/>
      <c r="M871" s="523"/>
      <c r="N871" s="523"/>
      <c r="O871" s="523"/>
      <c r="P871" s="523"/>
      <c r="Q871" s="523"/>
      <c r="R871" s="523"/>
      <c r="S871" s="523"/>
      <c r="T871" s="523"/>
      <c r="U871" s="523"/>
      <c r="V871" s="523"/>
      <c r="W871" s="523"/>
      <c r="X871" s="523"/>
      <c r="Y871" s="523"/>
      <c r="Z871" s="523"/>
    </row>
    <row r="872" spans="1:26" ht="15.75" customHeight="1">
      <c r="A872" s="523"/>
      <c r="B872" s="523"/>
      <c r="C872" s="523"/>
      <c r="D872" s="523"/>
      <c r="E872" s="523"/>
      <c r="F872" s="523"/>
      <c r="G872" s="523"/>
      <c r="H872" s="524"/>
      <c r="I872" s="523"/>
      <c r="J872" s="523"/>
      <c r="K872" s="523"/>
      <c r="L872" s="523"/>
      <c r="M872" s="523"/>
      <c r="N872" s="523"/>
      <c r="O872" s="523"/>
      <c r="P872" s="523"/>
      <c r="Q872" s="523"/>
      <c r="R872" s="523"/>
      <c r="S872" s="523"/>
      <c r="T872" s="523"/>
      <c r="U872" s="523"/>
      <c r="V872" s="523"/>
      <c r="W872" s="523"/>
      <c r="X872" s="523"/>
      <c r="Y872" s="523"/>
      <c r="Z872" s="523"/>
    </row>
    <row r="873" spans="1:26" ht="15.75" customHeight="1">
      <c r="A873" s="523"/>
      <c r="B873" s="523"/>
      <c r="C873" s="523"/>
      <c r="D873" s="523"/>
      <c r="E873" s="523"/>
      <c r="F873" s="523"/>
      <c r="G873" s="523"/>
      <c r="H873" s="524"/>
      <c r="I873" s="523"/>
      <c r="J873" s="523"/>
      <c r="K873" s="523"/>
      <c r="L873" s="523"/>
      <c r="M873" s="523"/>
      <c r="N873" s="523"/>
      <c r="O873" s="523"/>
      <c r="P873" s="523"/>
      <c r="Q873" s="523"/>
      <c r="R873" s="523"/>
      <c r="S873" s="523"/>
      <c r="T873" s="523"/>
      <c r="U873" s="523"/>
      <c r="V873" s="523"/>
      <c r="W873" s="523"/>
      <c r="X873" s="523"/>
      <c r="Y873" s="523"/>
      <c r="Z873" s="523"/>
    </row>
    <row r="874" spans="1:26" ht="15.75" customHeight="1">
      <c r="A874" s="523"/>
      <c r="B874" s="523"/>
      <c r="C874" s="523"/>
      <c r="D874" s="523"/>
      <c r="E874" s="523"/>
      <c r="F874" s="523"/>
      <c r="G874" s="523"/>
      <c r="H874" s="524"/>
      <c r="I874" s="523"/>
      <c r="J874" s="523"/>
      <c r="K874" s="523"/>
      <c r="L874" s="523"/>
      <c r="M874" s="523"/>
      <c r="N874" s="523"/>
      <c r="O874" s="523"/>
      <c r="P874" s="523"/>
      <c r="Q874" s="523"/>
      <c r="R874" s="523"/>
      <c r="S874" s="523"/>
      <c r="T874" s="523"/>
      <c r="U874" s="523"/>
      <c r="V874" s="523"/>
      <c r="W874" s="523"/>
      <c r="X874" s="523"/>
      <c r="Y874" s="523"/>
      <c r="Z874" s="523"/>
    </row>
    <row r="875" spans="1:26" ht="15.75" customHeight="1">
      <c r="A875" s="523"/>
      <c r="B875" s="523"/>
      <c r="C875" s="523"/>
      <c r="D875" s="523"/>
      <c r="E875" s="523"/>
      <c r="F875" s="523"/>
      <c r="G875" s="523"/>
      <c r="H875" s="524"/>
      <c r="I875" s="523"/>
      <c r="J875" s="523"/>
      <c r="K875" s="523"/>
      <c r="L875" s="523"/>
      <c r="M875" s="523"/>
      <c r="N875" s="523"/>
      <c r="O875" s="523"/>
      <c r="P875" s="523"/>
      <c r="Q875" s="523"/>
      <c r="R875" s="523"/>
      <c r="S875" s="523"/>
      <c r="T875" s="523"/>
      <c r="U875" s="523"/>
      <c r="V875" s="523"/>
      <c r="W875" s="523"/>
      <c r="X875" s="523"/>
      <c r="Y875" s="523"/>
      <c r="Z875" s="523"/>
    </row>
    <row r="876" spans="1:26" ht="15.75" customHeight="1">
      <c r="A876" s="523"/>
      <c r="B876" s="523"/>
      <c r="C876" s="523"/>
      <c r="D876" s="523"/>
      <c r="E876" s="523"/>
      <c r="F876" s="523"/>
      <c r="G876" s="523"/>
      <c r="H876" s="524"/>
      <c r="I876" s="523"/>
      <c r="J876" s="523"/>
      <c r="K876" s="523"/>
      <c r="L876" s="523"/>
      <c r="M876" s="523"/>
      <c r="N876" s="523"/>
      <c r="O876" s="523"/>
      <c r="P876" s="523"/>
      <c r="Q876" s="523"/>
      <c r="R876" s="523"/>
      <c r="S876" s="523"/>
      <c r="T876" s="523"/>
      <c r="U876" s="523"/>
      <c r="V876" s="523"/>
      <c r="W876" s="523"/>
      <c r="X876" s="523"/>
      <c r="Y876" s="523"/>
      <c r="Z876" s="523"/>
    </row>
    <row r="877" spans="1:26" ht="15.75" customHeight="1">
      <c r="A877" s="523"/>
      <c r="B877" s="523"/>
      <c r="C877" s="523"/>
      <c r="D877" s="523"/>
      <c r="E877" s="523"/>
      <c r="F877" s="523"/>
      <c r="G877" s="523"/>
      <c r="H877" s="524"/>
      <c r="I877" s="523"/>
      <c r="J877" s="523"/>
      <c r="K877" s="523"/>
      <c r="L877" s="523"/>
      <c r="M877" s="523"/>
      <c r="N877" s="523"/>
      <c r="O877" s="523"/>
      <c r="P877" s="523"/>
      <c r="Q877" s="523"/>
      <c r="R877" s="523"/>
      <c r="S877" s="523"/>
      <c r="T877" s="523"/>
      <c r="U877" s="523"/>
      <c r="V877" s="523"/>
      <c r="W877" s="523"/>
      <c r="X877" s="523"/>
      <c r="Y877" s="523"/>
      <c r="Z877" s="523"/>
    </row>
    <row r="878" spans="1:26" ht="15.75" customHeight="1">
      <c r="A878" s="523"/>
      <c r="B878" s="523"/>
      <c r="C878" s="523"/>
      <c r="D878" s="523"/>
      <c r="E878" s="523"/>
      <c r="F878" s="523"/>
      <c r="G878" s="523"/>
      <c r="H878" s="524"/>
      <c r="I878" s="523"/>
      <c r="J878" s="523"/>
      <c r="K878" s="523"/>
      <c r="L878" s="523"/>
      <c r="M878" s="523"/>
      <c r="N878" s="523"/>
      <c r="O878" s="523"/>
      <c r="P878" s="523"/>
      <c r="Q878" s="523"/>
      <c r="R878" s="523"/>
      <c r="S878" s="523"/>
      <c r="T878" s="523"/>
      <c r="U878" s="523"/>
      <c r="V878" s="523"/>
      <c r="W878" s="523"/>
      <c r="X878" s="523"/>
      <c r="Y878" s="523"/>
      <c r="Z878" s="523"/>
    </row>
    <row r="879" spans="1:26" ht="15.75" customHeight="1">
      <c r="A879" s="523"/>
      <c r="B879" s="523"/>
      <c r="C879" s="523"/>
      <c r="D879" s="523"/>
      <c r="E879" s="523"/>
      <c r="F879" s="523"/>
      <c r="G879" s="523"/>
      <c r="H879" s="524"/>
      <c r="I879" s="523"/>
      <c r="J879" s="523"/>
      <c r="K879" s="523"/>
      <c r="L879" s="523"/>
      <c r="M879" s="523"/>
      <c r="N879" s="523"/>
      <c r="O879" s="523"/>
      <c r="P879" s="523"/>
      <c r="Q879" s="523"/>
      <c r="R879" s="523"/>
      <c r="S879" s="523"/>
      <c r="T879" s="523"/>
      <c r="U879" s="523"/>
      <c r="V879" s="523"/>
      <c r="W879" s="523"/>
      <c r="X879" s="523"/>
      <c r="Y879" s="523"/>
      <c r="Z879" s="523"/>
    </row>
    <row r="880" spans="1:26" ht="15.75" customHeight="1">
      <c r="A880" s="523"/>
      <c r="B880" s="523"/>
      <c r="C880" s="523"/>
      <c r="D880" s="523"/>
      <c r="E880" s="523"/>
      <c r="F880" s="523"/>
      <c r="G880" s="523"/>
      <c r="H880" s="524"/>
      <c r="I880" s="523"/>
      <c r="J880" s="523"/>
      <c r="K880" s="523"/>
      <c r="L880" s="523"/>
      <c r="M880" s="523"/>
      <c r="N880" s="523"/>
      <c r="O880" s="523"/>
      <c r="P880" s="523"/>
      <c r="Q880" s="523"/>
      <c r="R880" s="523"/>
      <c r="S880" s="523"/>
      <c r="T880" s="523"/>
      <c r="U880" s="523"/>
      <c r="V880" s="523"/>
      <c r="W880" s="523"/>
      <c r="X880" s="523"/>
      <c r="Y880" s="523"/>
      <c r="Z880" s="523"/>
    </row>
    <row r="881" spans="1:26" ht="15.75" customHeight="1">
      <c r="A881" s="523"/>
      <c r="B881" s="523"/>
      <c r="C881" s="523"/>
      <c r="D881" s="523"/>
      <c r="E881" s="523"/>
      <c r="F881" s="523"/>
      <c r="G881" s="523"/>
      <c r="H881" s="524"/>
      <c r="I881" s="523"/>
      <c r="J881" s="523"/>
      <c r="K881" s="523"/>
      <c r="L881" s="523"/>
      <c r="M881" s="523"/>
      <c r="N881" s="523"/>
      <c r="O881" s="523"/>
      <c r="P881" s="523"/>
      <c r="Q881" s="523"/>
      <c r="R881" s="523"/>
      <c r="S881" s="523"/>
      <c r="T881" s="523"/>
      <c r="U881" s="523"/>
      <c r="V881" s="523"/>
      <c r="W881" s="523"/>
      <c r="X881" s="523"/>
      <c r="Y881" s="523"/>
      <c r="Z881" s="523"/>
    </row>
    <row r="882" spans="1:26" ht="15.75" customHeight="1">
      <c r="A882" s="523"/>
      <c r="B882" s="523"/>
      <c r="C882" s="523"/>
      <c r="D882" s="523"/>
      <c r="E882" s="523"/>
      <c r="F882" s="523"/>
      <c r="G882" s="523"/>
      <c r="H882" s="524"/>
      <c r="I882" s="523"/>
      <c r="J882" s="523"/>
      <c r="K882" s="523"/>
      <c r="L882" s="523"/>
      <c r="M882" s="523"/>
      <c r="N882" s="523"/>
      <c r="O882" s="523"/>
      <c r="P882" s="523"/>
      <c r="Q882" s="523"/>
      <c r="R882" s="523"/>
      <c r="S882" s="523"/>
      <c r="T882" s="523"/>
      <c r="U882" s="523"/>
      <c r="V882" s="523"/>
      <c r="W882" s="523"/>
      <c r="X882" s="523"/>
      <c r="Y882" s="523"/>
      <c r="Z882" s="523"/>
    </row>
    <row r="883" spans="1:26" ht="15.75" customHeight="1">
      <c r="A883" s="523"/>
      <c r="B883" s="523"/>
      <c r="C883" s="523"/>
      <c r="D883" s="523"/>
      <c r="E883" s="523"/>
      <c r="F883" s="523"/>
      <c r="G883" s="523"/>
      <c r="H883" s="524"/>
      <c r="I883" s="523"/>
      <c r="J883" s="523"/>
      <c r="K883" s="523"/>
      <c r="L883" s="523"/>
      <c r="M883" s="523"/>
      <c r="N883" s="523"/>
      <c r="O883" s="523"/>
      <c r="P883" s="523"/>
      <c r="Q883" s="523"/>
      <c r="R883" s="523"/>
      <c r="S883" s="523"/>
      <c r="T883" s="523"/>
      <c r="U883" s="523"/>
      <c r="V883" s="523"/>
      <c r="W883" s="523"/>
      <c r="X883" s="523"/>
      <c r="Y883" s="523"/>
      <c r="Z883" s="523"/>
    </row>
    <row r="884" spans="1:26" ht="15.75" customHeight="1">
      <c r="A884" s="523"/>
      <c r="B884" s="523"/>
      <c r="C884" s="523"/>
      <c r="D884" s="523"/>
      <c r="E884" s="523"/>
      <c r="F884" s="523"/>
      <c r="G884" s="523"/>
      <c r="H884" s="524"/>
      <c r="I884" s="523"/>
      <c r="J884" s="523"/>
      <c r="K884" s="523"/>
      <c r="L884" s="523"/>
      <c r="M884" s="523"/>
      <c r="N884" s="523"/>
      <c r="O884" s="523"/>
      <c r="P884" s="523"/>
      <c r="Q884" s="523"/>
      <c r="R884" s="523"/>
      <c r="S884" s="523"/>
      <c r="T884" s="523"/>
      <c r="U884" s="523"/>
      <c r="V884" s="523"/>
      <c r="W884" s="523"/>
      <c r="X884" s="523"/>
      <c r="Y884" s="523"/>
      <c r="Z884" s="523"/>
    </row>
    <row r="885" spans="1:26" ht="15.75" customHeight="1">
      <c r="A885" s="523"/>
      <c r="B885" s="523"/>
      <c r="C885" s="523"/>
      <c r="D885" s="523"/>
      <c r="E885" s="523"/>
      <c r="F885" s="523"/>
      <c r="G885" s="523"/>
      <c r="H885" s="524"/>
      <c r="I885" s="523"/>
      <c r="J885" s="523"/>
      <c r="K885" s="523"/>
      <c r="L885" s="523"/>
      <c r="M885" s="523"/>
      <c r="N885" s="523"/>
      <c r="O885" s="523"/>
      <c r="P885" s="523"/>
      <c r="Q885" s="523"/>
      <c r="R885" s="523"/>
      <c r="S885" s="523"/>
      <c r="T885" s="523"/>
      <c r="U885" s="523"/>
      <c r="V885" s="523"/>
      <c r="W885" s="523"/>
      <c r="X885" s="523"/>
      <c r="Y885" s="523"/>
      <c r="Z885" s="523"/>
    </row>
    <row r="886" spans="1:26" ht="15.75" customHeight="1">
      <c r="A886" s="523"/>
      <c r="B886" s="523"/>
      <c r="C886" s="523"/>
      <c r="D886" s="523"/>
      <c r="E886" s="523"/>
      <c r="F886" s="523"/>
      <c r="G886" s="523"/>
      <c r="H886" s="524"/>
      <c r="I886" s="523"/>
      <c r="J886" s="523"/>
      <c r="K886" s="523"/>
      <c r="L886" s="523"/>
      <c r="M886" s="523"/>
      <c r="N886" s="523"/>
      <c r="O886" s="523"/>
      <c r="P886" s="523"/>
      <c r="Q886" s="523"/>
      <c r="R886" s="523"/>
      <c r="S886" s="523"/>
      <c r="T886" s="523"/>
      <c r="U886" s="523"/>
      <c r="V886" s="523"/>
      <c r="W886" s="523"/>
      <c r="X886" s="523"/>
      <c r="Y886" s="523"/>
      <c r="Z886" s="523"/>
    </row>
    <row r="887" spans="1:26" ht="15.75" customHeight="1">
      <c r="A887" s="523"/>
      <c r="B887" s="523"/>
      <c r="C887" s="523"/>
      <c r="D887" s="523"/>
      <c r="E887" s="523"/>
      <c r="F887" s="523"/>
      <c r="G887" s="523"/>
      <c r="H887" s="524"/>
      <c r="I887" s="523"/>
      <c r="J887" s="523"/>
      <c r="K887" s="523"/>
      <c r="L887" s="523"/>
      <c r="M887" s="523"/>
      <c r="N887" s="523"/>
      <c r="O887" s="523"/>
      <c r="P887" s="523"/>
      <c r="Q887" s="523"/>
      <c r="R887" s="523"/>
      <c r="S887" s="523"/>
      <c r="T887" s="523"/>
      <c r="U887" s="523"/>
      <c r="V887" s="523"/>
      <c r="W887" s="523"/>
      <c r="X887" s="523"/>
      <c r="Y887" s="523"/>
      <c r="Z887" s="523"/>
    </row>
    <row r="888" spans="1:26" ht="15.75" customHeight="1">
      <c r="A888" s="523"/>
      <c r="B888" s="523"/>
      <c r="C888" s="523"/>
      <c r="D888" s="523"/>
      <c r="E888" s="523"/>
      <c r="F888" s="523"/>
      <c r="G888" s="523"/>
      <c r="H888" s="524"/>
      <c r="I888" s="523"/>
      <c r="J888" s="523"/>
      <c r="K888" s="523"/>
      <c r="L888" s="523"/>
      <c r="M888" s="523"/>
      <c r="N888" s="523"/>
      <c r="O888" s="523"/>
      <c r="P888" s="523"/>
      <c r="Q888" s="523"/>
      <c r="R888" s="523"/>
      <c r="S888" s="523"/>
      <c r="T888" s="523"/>
      <c r="U888" s="523"/>
      <c r="V888" s="523"/>
      <c r="W888" s="523"/>
      <c r="X888" s="523"/>
      <c r="Y888" s="523"/>
      <c r="Z888" s="523"/>
    </row>
    <row r="889" spans="1:26" ht="15.75" customHeight="1">
      <c r="A889" s="523"/>
      <c r="B889" s="523"/>
      <c r="C889" s="523"/>
      <c r="D889" s="523"/>
      <c r="E889" s="523"/>
      <c r="F889" s="523"/>
      <c r="G889" s="523"/>
      <c r="H889" s="524"/>
      <c r="I889" s="523"/>
      <c r="J889" s="523"/>
      <c r="K889" s="523"/>
      <c r="L889" s="523"/>
      <c r="M889" s="523"/>
      <c r="N889" s="523"/>
      <c r="O889" s="523"/>
      <c r="P889" s="523"/>
      <c r="Q889" s="523"/>
      <c r="R889" s="523"/>
      <c r="S889" s="523"/>
      <c r="T889" s="523"/>
      <c r="U889" s="523"/>
      <c r="V889" s="523"/>
      <c r="W889" s="523"/>
      <c r="X889" s="523"/>
      <c r="Y889" s="523"/>
      <c r="Z889" s="523"/>
    </row>
    <row r="890" spans="1:26" ht="15.75" customHeight="1">
      <c r="A890" s="523"/>
      <c r="B890" s="523"/>
      <c r="C890" s="523"/>
      <c r="D890" s="523"/>
      <c r="E890" s="523"/>
      <c r="F890" s="523"/>
      <c r="G890" s="523"/>
      <c r="H890" s="524"/>
      <c r="I890" s="523"/>
      <c r="J890" s="523"/>
      <c r="K890" s="523"/>
      <c r="L890" s="523"/>
      <c r="M890" s="523"/>
      <c r="N890" s="523"/>
      <c r="O890" s="523"/>
      <c r="P890" s="523"/>
      <c r="Q890" s="523"/>
      <c r="R890" s="523"/>
      <c r="S890" s="523"/>
      <c r="T890" s="523"/>
      <c r="U890" s="523"/>
      <c r="V890" s="523"/>
      <c r="W890" s="523"/>
      <c r="X890" s="523"/>
      <c r="Y890" s="523"/>
      <c r="Z890" s="523"/>
    </row>
    <row r="891" spans="1:26" ht="15.75" customHeight="1">
      <c r="A891" s="523"/>
      <c r="B891" s="523"/>
      <c r="C891" s="523"/>
      <c r="D891" s="523"/>
      <c r="E891" s="523"/>
      <c r="F891" s="523"/>
      <c r="G891" s="523"/>
      <c r="H891" s="524"/>
      <c r="I891" s="523"/>
      <c r="J891" s="523"/>
      <c r="K891" s="523"/>
      <c r="L891" s="523"/>
      <c r="M891" s="523"/>
      <c r="N891" s="523"/>
      <c r="O891" s="523"/>
      <c r="P891" s="523"/>
      <c r="Q891" s="523"/>
      <c r="R891" s="523"/>
      <c r="S891" s="523"/>
      <c r="T891" s="523"/>
      <c r="U891" s="523"/>
      <c r="V891" s="523"/>
      <c r="W891" s="523"/>
      <c r="X891" s="523"/>
      <c r="Y891" s="523"/>
      <c r="Z891" s="523"/>
    </row>
    <row r="892" spans="1:26" ht="15.75" customHeight="1">
      <c r="A892" s="523"/>
      <c r="B892" s="523"/>
      <c r="C892" s="523"/>
      <c r="D892" s="523"/>
      <c r="E892" s="523"/>
      <c r="F892" s="523"/>
      <c r="G892" s="523"/>
      <c r="H892" s="524"/>
      <c r="I892" s="523"/>
      <c r="J892" s="523"/>
      <c r="K892" s="523"/>
      <c r="L892" s="523"/>
      <c r="M892" s="523"/>
      <c r="N892" s="523"/>
      <c r="O892" s="523"/>
      <c r="P892" s="523"/>
      <c r="Q892" s="523"/>
      <c r="R892" s="523"/>
      <c r="S892" s="523"/>
      <c r="T892" s="523"/>
      <c r="U892" s="523"/>
      <c r="V892" s="523"/>
      <c r="W892" s="523"/>
      <c r="X892" s="523"/>
      <c r="Y892" s="523"/>
      <c r="Z892" s="523"/>
    </row>
    <row r="893" spans="1:26" ht="15.75" customHeight="1">
      <c r="A893" s="523"/>
      <c r="B893" s="523"/>
      <c r="C893" s="523"/>
      <c r="D893" s="523"/>
      <c r="E893" s="523"/>
      <c r="F893" s="523"/>
      <c r="G893" s="523"/>
      <c r="H893" s="524"/>
      <c r="I893" s="523"/>
      <c r="J893" s="523"/>
      <c r="K893" s="523"/>
      <c r="L893" s="523"/>
      <c r="M893" s="523"/>
      <c r="N893" s="523"/>
      <c r="O893" s="523"/>
      <c r="P893" s="523"/>
      <c r="Q893" s="523"/>
      <c r="R893" s="523"/>
      <c r="S893" s="523"/>
      <c r="T893" s="523"/>
      <c r="U893" s="523"/>
      <c r="V893" s="523"/>
      <c r="W893" s="523"/>
      <c r="X893" s="523"/>
      <c r="Y893" s="523"/>
      <c r="Z893" s="523"/>
    </row>
    <row r="894" spans="1:26" ht="15.75" customHeight="1">
      <c r="A894" s="523"/>
      <c r="B894" s="523"/>
      <c r="C894" s="523"/>
      <c r="D894" s="523"/>
      <c r="E894" s="523"/>
      <c r="F894" s="523"/>
      <c r="G894" s="523"/>
      <c r="H894" s="524"/>
      <c r="I894" s="523"/>
      <c r="J894" s="523"/>
      <c r="K894" s="523"/>
      <c r="L894" s="523"/>
      <c r="M894" s="523"/>
      <c r="N894" s="523"/>
      <c r="O894" s="523"/>
      <c r="P894" s="523"/>
      <c r="Q894" s="523"/>
      <c r="R894" s="523"/>
      <c r="S894" s="523"/>
      <c r="T894" s="523"/>
      <c r="U894" s="523"/>
      <c r="V894" s="523"/>
      <c r="W894" s="523"/>
      <c r="X894" s="523"/>
      <c r="Y894" s="523"/>
      <c r="Z894" s="523"/>
    </row>
    <row r="895" spans="1:26" ht="15.75" customHeight="1">
      <c r="A895" s="523"/>
      <c r="B895" s="523"/>
      <c r="C895" s="523"/>
      <c r="D895" s="523"/>
      <c r="E895" s="523"/>
      <c r="F895" s="523"/>
      <c r="G895" s="523"/>
      <c r="H895" s="524"/>
      <c r="I895" s="523"/>
      <c r="J895" s="523"/>
      <c r="K895" s="523"/>
      <c r="L895" s="523"/>
      <c r="M895" s="523"/>
      <c r="N895" s="523"/>
      <c r="O895" s="523"/>
      <c r="P895" s="523"/>
      <c r="Q895" s="523"/>
      <c r="R895" s="523"/>
      <c r="S895" s="523"/>
      <c r="T895" s="523"/>
      <c r="U895" s="523"/>
      <c r="V895" s="523"/>
      <c r="W895" s="523"/>
      <c r="X895" s="523"/>
      <c r="Y895" s="523"/>
      <c r="Z895" s="523"/>
    </row>
    <row r="896" spans="1:26" ht="15.75" customHeight="1">
      <c r="A896" s="523"/>
      <c r="B896" s="523"/>
      <c r="C896" s="523"/>
      <c r="D896" s="523"/>
      <c r="E896" s="523"/>
      <c r="F896" s="523"/>
      <c r="G896" s="523"/>
      <c r="H896" s="524"/>
      <c r="I896" s="523"/>
      <c r="J896" s="523"/>
      <c r="K896" s="523"/>
      <c r="L896" s="523"/>
      <c r="M896" s="523"/>
      <c r="N896" s="523"/>
      <c r="O896" s="523"/>
      <c r="P896" s="523"/>
      <c r="Q896" s="523"/>
      <c r="R896" s="523"/>
      <c r="S896" s="523"/>
      <c r="T896" s="523"/>
      <c r="U896" s="523"/>
      <c r="V896" s="523"/>
      <c r="W896" s="523"/>
      <c r="X896" s="523"/>
      <c r="Y896" s="523"/>
      <c r="Z896" s="523"/>
    </row>
    <row r="897" spans="1:26" ht="15.75" customHeight="1">
      <c r="A897" s="523"/>
      <c r="B897" s="523"/>
      <c r="C897" s="523"/>
      <c r="D897" s="523"/>
      <c r="E897" s="523"/>
      <c r="F897" s="523"/>
      <c r="G897" s="523"/>
      <c r="H897" s="524"/>
      <c r="I897" s="523"/>
      <c r="J897" s="523"/>
      <c r="K897" s="523"/>
      <c r="L897" s="523"/>
      <c r="M897" s="523"/>
      <c r="N897" s="523"/>
      <c r="O897" s="523"/>
      <c r="P897" s="523"/>
      <c r="Q897" s="523"/>
      <c r="R897" s="523"/>
      <c r="S897" s="523"/>
      <c r="T897" s="523"/>
      <c r="U897" s="523"/>
      <c r="V897" s="523"/>
      <c r="W897" s="523"/>
      <c r="X897" s="523"/>
      <c r="Y897" s="523"/>
      <c r="Z897" s="523"/>
    </row>
    <row r="898" spans="1:26" ht="15.75" customHeight="1">
      <c r="A898" s="523"/>
      <c r="B898" s="523"/>
      <c r="C898" s="523"/>
      <c r="D898" s="523"/>
      <c r="E898" s="523"/>
      <c r="F898" s="523"/>
      <c r="G898" s="523"/>
      <c r="H898" s="524"/>
      <c r="I898" s="523"/>
      <c r="J898" s="523"/>
      <c r="K898" s="523"/>
      <c r="L898" s="523"/>
      <c r="M898" s="523"/>
      <c r="N898" s="523"/>
      <c r="O898" s="523"/>
      <c r="P898" s="523"/>
      <c r="Q898" s="523"/>
      <c r="R898" s="523"/>
      <c r="S898" s="523"/>
      <c r="T898" s="523"/>
      <c r="U898" s="523"/>
      <c r="V898" s="523"/>
      <c r="W898" s="523"/>
      <c r="X898" s="523"/>
      <c r="Y898" s="523"/>
      <c r="Z898" s="523"/>
    </row>
    <row r="899" spans="1:26" ht="15.75" customHeight="1">
      <c r="A899" s="523"/>
      <c r="B899" s="523"/>
      <c r="C899" s="523"/>
      <c r="D899" s="523"/>
      <c r="E899" s="523"/>
      <c r="F899" s="523"/>
      <c r="G899" s="523"/>
      <c r="H899" s="524"/>
      <c r="I899" s="523"/>
      <c r="J899" s="523"/>
      <c r="K899" s="523"/>
      <c r="L899" s="523"/>
      <c r="M899" s="523"/>
      <c r="N899" s="523"/>
      <c r="O899" s="523"/>
      <c r="P899" s="523"/>
      <c r="Q899" s="523"/>
      <c r="R899" s="523"/>
      <c r="S899" s="523"/>
      <c r="T899" s="523"/>
      <c r="U899" s="523"/>
      <c r="V899" s="523"/>
      <c r="W899" s="523"/>
      <c r="X899" s="523"/>
      <c r="Y899" s="523"/>
      <c r="Z899" s="523"/>
    </row>
    <row r="900" spans="1:26" ht="15.75" customHeight="1">
      <c r="A900" s="523"/>
      <c r="B900" s="523"/>
      <c r="C900" s="523"/>
      <c r="D900" s="523"/>
      <c r="E900" s="523"/>
      <c r="F900" s="523"/>
      <c r="G900" s="523"/>
      <c r="H900" s="524"/>
      <c r="I900" s="523"/>
      <c r="J900" s="523"/>
      <c r="K900" s="523"/>
      <c r="L900" s="523"/>
      <c r="M900" s="523"/>
      <c r="N900" s="523"/>
      <c r="O900" s="523"/>
      <c r="P900" s="523"/>
      <c r="Q900" s="523"/>
      <c r="R900" s="523"/>
      <c r="S900" s="523"/>
      <c r="T900" s="523"/>
      <c r="U900" s="523"/>
      <c r="V900" s="523"/>
      <c r="W900" s="523"/>
      <c r="X900" s="523"/>
      <c r="Y900" s="523"/>
      <c r="Z900" s="523"/>
    </row>
    <row r="901" spans="1:26" ht="15.75" customHeight="1">
      <c r="A901" s="523"/>
      <c r="B901" s="523"/>
      <c r="C901" s="523"/>
      <c r="D901" s="523"/>
      <c r="E901" s="523"/>
      <c r="F901" s="523"/>
      <c r="G901" s="523"/>
      <c r="H901" s="524"/>
      <c r="I901" s="523"/>
      <c r="J901" s="523"/>
      <c r="K901" s="523"/>
      <c r="L901" s="523"/>
      <c r="M901" s="523"/>
      <c r="N901" s="523"/>
      <c r="O901" s="523"/>
      <c r="P901" s="523"/>
      <c r="Q901" s="523"/>
      <c r="R901" s="523"/>
      <c r="S901" s="523"/>
      <c r="T901" s="523"/>
      <c r="U901" s="523"/>
      <c r="V901" s="523"/>
      <c r="W901" s="523"/>
      <c r="X901" s="523"/>
      <c r="Y901" s="523"/>
      <c r="Z901" s="523"/>
    </row>
    <row r="902" spans="1:26" ht="15.75" customHeight="1">
      <c r="A902" s="523"/>
      <c r="B902" s="523"/>
      <c r="C902" s="523"/>
      <c r="D902" s="523"/>
      <c r="E902" s="523"/>
      <c r="F902" s="523"/>
      <c r="G902" s="523"/>
      <c r="H902" s="524"/>
      <c r="I902" s="523"/>
      <c r="J902" s="523"/>
      <c r="K902" s="523"/>
      <c r="L902" s="523"/>
      <c r="M902" s="523"/>
      <c r="N902" s="523"/>
      <c r="O902" s="523"/>
      <c r="P902" s="523"/>
      <c r="Q902" s="523"/>
      <c r="R902" s="523"/>
      <c r="S902" s="523"/>
      <c r="T902" s="523"/>
      <c r="U902" s="523"/>
      <c r="V902" s="523"/>
      <c r="W902" s="523"/>
      <c r="X902" s="523"/>
      <c r="Y902" s="523"/>
      <c r="Z902" s="523"/>
    </row>
    <row r="903" spans="1:26" ht="15.75" customHeight="1">
      <c r="A903" s="523"/>
      <c r="B903" s="523"/>
      <c r="C903" s="523"/>
      <c r="D903" s="523"/>
      <c r="E903" s="523"/>
      <c r="F903" s="523"/>
      <c r="G903" s="523"/>
      <c r="H903" s="524"/>
      <c r="I903" s="523"/>
      <c r="J903" s="523"/>
      <c r="K903" s="523"/>
      <c r="L903" s="523"/>
      <c r="M903" s="523"/>
      <c r="N903" s="523"/>
      <c r="O903" s="523"/>
      <c r="P903" s="523"/>
      <c r="Q903" s="523"/>
      <c r="R903" s="523"/>
      <c r="S903" s="523"/>
      <c r="T903" s="523"/>
      <c r="U903" s="523"/>
      <c r="V903" s="523"/>
      <c r="W903" s="523"/>
      <c r="X903" s="523"/>
      <c r="Y903" s="523"/>
      <c r="Z903" s="523"/>
    </row>
    <row r="904" spans="1:26" ht="15.75" customHeight="1">
      <c r="A904" s="523"/>
      <c r="B904" s="523"/>
      <c r="C904" s="523"/>
      <c r="D904" s="523"/>
      <c r="E904" s="523"/>
      <c r="F904" s="523"/>
      <c r="G904" s="523"/>
      <c r="H904" s="524"/>
      <c r="I904" s="523"/>
      <c r="J904" s="523"/>
      <c r="K904" s="523"/>
      <c r="L904" s="523"/>
      <c r="M904" s="523"/>
      <c r="N904" s="523"/>
      <c r="O904" s="523"/>
      <c r="P904" s="523"/>
      <c r="Q904" s="523"/>
      <c r="R904" s="523"/>
      <c r="S904" s="523"/>
      <c r="T904" s="523"/>
      <c r="U904" s="523"/>
      <c r="V904" s="523"/>
      <c r="W904" s="523"/>
      <c r="X904" s="523"/>
      <c r="Y904" s="523"/>
      <c r="Z904" s="523"/>
    </row>
    <row r="905" spans="1:26" ht="15.75" customHeight="1">
      <c r="A905" s="523"/>
      <c r="B905" s="523"/>
      <c r="C905" s="523"/>
      <c r="D905" s="523"/>
      <c r="E905" s="523"/>
      <c r="F905" s="523"/>
      <c r="G905" s="523"/>
      <c r="H905" s="524"/>
      <c r="I905" s="523"/>
      <c r="J905" s="523"/>
      <c r="K905" s="523"/>
      <c r="L905" s="523"/>
      <c r="M905" s="523"/>
      <c r="N905" s="523"/>
      <c r="O905" s="523"/>
      <c r="P905" s="523"/>
      <c r="Q905" s="523"/>
      <c r="R905" s="523"/>
      <c r="S905" s="523"/>
      <c r="T905" s="523"/>
      <c r="U905" s="523"/>
      <c r="V905" s="523"/>
      <c r="W905" s="523"/>
      <c r="X905" s="523"/>
      <c r="Y905" s="523"/>
      <c r="Z905" s="523"/>
    </row>
    <row r="906" spans="1:26" ht="15.75" customHeight="1">
      <c r="A906" s="523"/>
      <c r="B906" s="523"/>
      <c r="C906" s="523"/>
      <c r="D906" s="523"/>
      <c r="E906" s="523"/>
      <c r="F906" s="523"/>
      <c r="G906" s="523"/>
      <c r="H906" s="524"/>
      <c r="I906" s="523"/>
      <c r="J906" s="523"/>
      <c r="K906" s="523"/>
      <c r="L906" s="523"/>
      <c r="M906" s="523"/>
      <c r="N906" s="523"/>
      <c r="O906" s="523"/>
      <c r="P906" s="523"/>
      <c r="Q906" s="523"/>
      <c r="R906" s="523"/>
      <c r="S906" s="523"/>
      <c r="T906" s="523"/>
      <c r="U906" s="523"/>
      <c r="V906" s="523"/>
      <c r="W906" s="523"/>
      <c r="X906" s="523"/>
      <c r="Y906" s="523"/>
      <c r="Z906" s="523"/>
    </row>
    <row r="907" spans="1:26" ht="15.75" customHeight="1">
      <c r="A907" s="523"/>
      <c r="B907" s="523"/>
      <c r="C907" s="523"/>
      <c r="D907" s="523"/>
      <c r="E907" s="523"/>
      <c r="F907" s="523"/>
      <c r="G907" s="523"/>
      <c r="H907" s="524"/>
      <c r="I907" s="523"/>
      <c r="J907" s="523"/>
      <c r="K907" s="523"/>
      <c r="L907" s="523"/>
      <c r="M907" s="523"/>
      <c r="N907" s="523"/>
      <c r="O907" s="523"/>
      <c r="P907" s="523"/>
      <c r="Q907" s="523"/>
      <c r="R907" s="523"/>
      <c r="S907" s="523"/>
      <c r="T907" s="523"/>
      <c r="U907" s="523"/>
      <c r="V907" s="523"/>
      <c r="W907" s="523"/>
      <c r="X907" s="523"/>
      <c r="Y907" s="523"/>
      <c r="Z907" s="523"/>
    </row>
    <row r="908" spans="1:26" ht="15.75" customHeight="1">
      <c r="A908" s="523"/>
      <c r="B908" s="523"/>
      <c r="C908" s="523"/>
      <c r="D908" s="523"/>
      <c r="E908" s="523"/>
      <c r="F908" s="523"/>
      <c r="G908" s="523"/>
      <c r="H908" s="524"/>
      <c r="I908" s="523"/>
      <c r="J908" s="523"/>
      <c r="K908" s="523"/>
      <c r="L908" s="523"/>
      <c r="M908" s="523"/>
      <c r="N908" s="523"/>
      <c r="O908" s="523"/>
      <c r="P908" s="523"/>
      <c r="Q908" s="523"/>
      <c r="R908" s="523"/>
      <c r="S908" s="523"/>
      <c r="T908" s="523"/>
      <c r="U908" s="523"/>
      <c r="V908" s="523"/>
      <c r="W908" s="523"/>
      <c r="X908" s="523"/>
      <c r="Y908" s="523"/>
      <c r="Z908" s="523"/>
    </row>
    <row r="909" spans="1:26" ht="15.75" customHeight="1">
      <c r="A909" s="523"/>
      <c r="B909" s="523"/>
      <c r="C909" s="523"/>
      <c r="D909" s="523"/>
      <c r="E909" s="523"/>
      <c r="F909" s="523"/>
      <c r="G909" s="523"/>
      <c r="H909" s="524"/>
      <c r="I909" s="523"/>
      <c r="J909" s="523"/>
      <c r="K909" s="523"/>
      <c r="L909" s="523"/>
      <c r="M909" s="523"/>
      <c r="N909" s="523"/>
      <c r="O909" s="523"/>
      <c r="P909" s="523"/>
      <c r="Q909" s="523"/>
      <c r="R909" s="523"/>
      <c r="S909" s="523"/>
      <c r="T909" s="523"/>
      <c r="U909" s="523"/>
      <c r="V909" s="523"/>
      <c r="W909" s="523"/>
      <c r="X909" s="523"/>
      <c r="Y909" s="523"/>
      <c r="Z909" s="523"/>
    </row>
    <row r="910" spans="1:26" ht="15.75" customHeight="1">
      <c r="A910" s="523"/>
      <c r="B910" s="523"/>
      <c r="C910" s="523"/>
      <c r="D910" s="523"/>
      <c r="E910" s="523"/>
      <c r="F910" s="523"/>
      <c r="G910" s="523"/>
      <c r="H910" s="524"/>
      <c r="I910" s="523"/>
      <c r="J910" s="523"/>
      <c r="K910" s="523"/>
      <c r="L910" s="523"/>
      <c r="M910" s="523"/>
      <c r="N910" s="523"/>
      <c r="O910" s="523"/>
      <c r="P910" s="523"/>
      <c r="Q910" s="523"/>
      <c r="R910" s="523"/>
      <c r="S910" s="523"/>
      <c r="T910" s="523"/>
      <c r="U910" s="523"/>
      <c r="V910" s="523"/>
      <c r="W910" s="523"/>
      <c r="X910" s="523"/>
      <c r="Y910" s="523"/>
      <c r="Z910" s="523"/>
    </row>
    <row r="911" spans="1:26" ht="15.75" customHeight="1">
      <c r="A911" s="523"/>
      <c r="B911" s="523"/>
      <c r="C911" s="523"/>
      <c r="D911" s="523"/>
      <c r="E911" s="523"/>
      <c r="F911" s="523"/>
      <c r="G911" s="523"/>
      <c r="H911" s="524"/>
      <c r="I911" s="523"/>
      <c r="J911" s="523"/>
      <c r="K911" s="523"/>
      <c r="L911" s="523"/>
      <c r="M911" s="523"/>
      <c r="N911" s="523"/>
      <c r="O911" s="523"/>
      <c r="P911" s="523"/>
      <c r="Q911" s="523"/>
      <c r="R911" s="523"/>
      <c r="S911" s="523"/>
      <c r="T911" s="523"/>
      <c r="U911" s="523"/>
      <c r="V911" s="523"/>
      <c r="W911" s="523"/>
      <c r="X911" s="523"/>
      <c r="Y911" s="523"/>
      <c r="Z911" s="523"/>
    </row>
    <row r="912" spans="1:26" ht="15.75" customHeight="1">
      <c r="A912" s="523"/>
      <c r="B912" s="523"/>
      <c r="C912" s="523"/>
      <c r="D912" s="523"/>
      <c r="E912" s="523"/>
      <c r="F912" s="523"/>
      <c r="G912" s="523"/>
      <c r="H912" s="524"/>
      <c r="I912" s="523"/>
      <c r="J912" s="523"/>
      <c r="K912" s="523"/>
      <c r="L912" s="523"/>
      <c r="M912" s="523"/>
      <c r="N912" s="523"/>
      <c r="O912" s="523"/>
      <c r="P912" s="523"/>
      <c r="Q912" s="523"/>
      <c r="R912" s="523"/>
      <c r="S912" s="523"/>
      <c r="T912" s="523"/>
      <c r="U912" s="523"/>
      <c r="V912" s="523"/>
      <c r="W912" s="523"/>
      <c r="X912" s="523"/>
      <c r="Y912" s="523"/>
      <c r="Z912" s="523"/>
    </row>
    <row r="913" spans="1:26" ht="15.75" customHeight="1">
      <c r="A913" s="523"/>
      <c r="B913" s="523"/>
      <c r="C913" s="523"/>
      <c r="D913" s="523"/>
      <c r="E913" s="523"/>
      <c r="F913" s="523"/>
      <c r="G913" s="523"/>
      <c r="H913" s="524"/>
      <c r="I913" s="523"/>
      <c r="J913" s="523"/>
      <c r="K913" s="523"/>
      <c r="L913" s="523"/>
      <c r="M913" s="523"/>
      <c r="N913" s="523"/>
      <c r="O913" s="523"/>
      <c r="P913" s="523"/>
      <c r="Q913" s="523"/>
      <c r="R913" s="523"/>
      <c r="S913" s="523"/>
      <c r="T913" s="523"/>
      <c r="U913" s="523"/>
      <c r="V913" s="523"/>
      <c r="W913" s="523"/>
      <c r="X913" s="523"/>
      <c r="Y913" s="523"/>
      <c r="Z913" s="523"/>
    </row>
    <row r="914" spans="1:26" ht="15.75" customHeight="1">
      <c r="A914" s="523"/>
      <c r="B914" s="523"/>
      <c r="C914" s="523"/>
      <c r="D914" s="523"/>
      <c r="E914" s="523"/>
      <c r="F914" s="523"/>
      <c r="G914" s="523"/>
      <c r="H914" s="524"/>
      <c r="I914" s="523"/>
      <c r="J914" s="523"/>
      <c r="K914" s="523"/>
      <c r="L914" s="523"/>
      <c r="M914" s="523"/>
      <c r="N914" s="523"/>
      <c r="O914" s="523"/>
      <c r="P914" s="523"/>
      <c r="Q914" s="523"/>
      <c r="R914" s="523"/>
      <c r="S914" s="523"/>
      <c r="T914" s="523"/>
      <c r="U914" s="523"/>
      <c r="V914" s="523"/>
      <c r="W914" s="523"/>
      <c r="X914" s="523"/>
      <c r="Y914" s="523"/>
      <c r="Z914" s="523"/>
    </row>
    <row r="915" spans="1:26" ht="15.75" customHeight="1">
      <c r="A915" s="523"/>
      <c r="B915" s="523"/>
      <c r="C915" s="523"/>
      <c r="D915" s="523"/>
      <c r="E915" s="523"/>
      <c r="F915" s="523"/>
      <c r="G915" s="523"/>
      <c r="H915" s="524"/>
      <c r="I915" s="523"/>
      <c r="J915" s="523"/>
      <c r="K915" s="523"/>
      <c r="L915" s="523"/>
      <c r="M915" s="523"/>
      <c r="N915" s="523"/>
      <c r="O915" s="523"/>
      <c r="P915" s="523"/>
      <c r="Q915" s="523"/>
      <c r="R915" s="523"/>
      <c r="S915" s="523"/>
      <c r="T915" s="523"/>
      <c r="U915" s="523"/>
      <c r="V915" s="523"/>
      <c r="W915" s="523"/>
      <c r="X915" s="523"/>
      <c r="Y915" s="523"/>
      <c r="Z915" s="523"/>
    </row>
    <row r="916" spans="1:26" ht="15.75" customHeight="1">
      <c r="A916" s="523"/>
      <c r="B916" s="523"/>
      <c r="C916" s="523"/>
      <c r="D916" s="523"/>
      <c r="E916" s="523"/>
      <c r="F916" s="523"/>
      <c r="G916" s="523"/>
      <c r="H916" s="524"/>
      <c r="I916" s="523"/>
      <c r="J916" s="523"/>
      <c r="K916" s="523"/>
      <c r="L916" s="523"/>
      <c r="M916" s="523"/>
      <c r="N916" s="523"/>
      <c r="O916" s="523"/>
      <c r="P916" s="523"/>
      <c r="Q916" s="523"/>
      <c r="R916" s="523"/>
      <c r="S916" s="523"/>
      <c r="T916" s="523"/>
      <c r="U916" s="523"/>
      <c r="V916" s="523"/>
      <c r="W916" s="523"/>
      <c r="X916" s="523"/>
      <c r="Y916" s="523"/>
      <c r="Z916" s="523"/>
    </row>
    <row r="917" spans="1:26" ht="15.75" customHeight="1">
      <c r="A917" s="523"/>
      <c r="B917" s="523"/>
      <c r="C917" s="523"/>
      <c r="D917" s="523"/>
      <c r="E917" s="523"/>
      <c r="F917" s="523"/>
      <c r="G917" s="523"/>
      <c r="H917" s="524"/>
      <c r="I917" s="523"/>
      <c r="J917" s="523"/>
      <c r="K917" s="523"/>
      <c r="L917" s="523"/>
      <c r="M917" s="523"/>
      <c r="N917" s="523"/>
      <c r="O917" s="523"/>
      <c r="P917" s="523"/>
      <c r="Q917" s="523"/>
      <c r="R917" s="523"/>
      <c r="S917" s="523"/>
      <c r="T917" s="523"/>
      <c r="U917" s="523"/>
      <c r="V917" s="523"/>
      <c r="W917" s="523"/>
      <c r="X917" s="523"/>
      <c r="Y917" s="523"/>
      <c r="Z917" s="523"/>
    </row>
    <row r="918" spans="1:26" ht="15.75" customHeight="1">
      <c r="A918" s="523"/>
      <c r="B918" s="523"/>
      <c r="C918" s="523"/>
      <c r="D918" s="523"/>
      <c r="E918" s="523"/>
      <c r="F918" s="523"/>
      <c r="G918" s="523"/>
      <c r="H918" s="524"/>
      <c r="I918" s="523"/>
      <c r="J918" s="523"/>
      <c r="K918" s="523"/>
      <c r="L918" s="523"/>
      <c r="M918" s="523"/>
      <c r="N918" s="523"/>
      <c r="O918" s="523"/>
      <c r="P918" s="523"/>
      <c r="Q918" s="523"/>
      <c r="R918" s="523"/>
      <c r="S918" s="523"/>
      <c r="T918" s="523"/>
      <c r="U918" s="523"/>
      <c r="V918" s="523"/>
      <c r="W918" s="523"/>
      <c r="X918" s="523"/>
      <c r="Y918" s="523"/>
      <c r="Z918" s="523"/>
    </row>
    <row r="919" spans="1:26" ht="15.75" customHeight="1">
      <c r="A919" s="523"/>
      <c r="B919" s="523"/>
      <c r="C919" s="523"/>
      <c r="D919" s="523"/>
      <c r="E919" s="523"/>
      <c r="F919" s="523"/>
      <c r="G919" s="523"/>
      <c r="H919" s="524"/>
      <c r="I919" s="523"/>
      <c r="J919" s="523"/>
      <c r="K919" s="523"/>
      <c r="L919" s="523"/>
      <c r="M919" s="523"/>
      <c r="N919" s="523"/>
      <c r="O919" s="523"/>
      <c r="P919" s="523"/>
      <c r="Q919" s="523"/>
      <c r="R919" s="523"/>
      <c r="S919" s="523"/>
      <c r="T919" s="523"/>
      <c r="U919" s="523"/>
      <c r="V919" s="523"/>
      <c r="W919" s="523"/>
      <c r="X919" s="523"/>
      <c r="Y919" s="523"/>
      <c r="Z919" s="523"/>
    </row>
    <row r="920" spans="1:26" ht="15.75" customHeight="1">
      <c r="A920" s="523"/>
      <c r="B920" s="523"/>
      <c r="C920" s="523"/>
      <c r="D920" s="523"/>
      <c r="E920" s="523"/>
      <c r="F920" s="523"/>
      <c r="G920" s="523"/>
      <c r="H920" s="524"/>
      <c r="I920" s="523"/>
      <c r="J920" s="523"/>
      <c r="K920" s="523"/>
      <c r="L920" s="523"/>
      <c r="M920" s="523"/>
      <c r="N920" s="523"/>
      <c r="O920" s="523"/>
      <c r="P920" s="523"/>
      <c r="Q920" s="523"/>
      <c r="R920" s="523"/>
      <c r="S920" s="523"/>
      <c r="T920" s="523"/>
      <c r="U920" s="523"/>
      <c r="V920" s="523"/>
      <c r="W920" s="523"/>
      <c r="X920" s="523"/>
      <c r="Y920" s="523"/>
      <c r="Z920" s="523"/>
    </row>
    <row r="921" spans="1:26" ht="15.75" customHeight="1">
      <c r="A921" s="523"/>
      <c r="B921" s="523"/>
      <c r="C921" s="523"/>
      <c r="D921" s="523"/>
      <c r="E921" s="523"/>
      <c r="F921" s="523"/>
      <c r="G921" s="523"/>
      <c r="H921" s="524"/>
      <c r="I921" s="523"/>
      <c r="J921" s="523"/>
      <c r="K921" s="523"/>
      <c r="L921" s="523"/>
      <c r="M921" s="523"/>
      <c r="N921" s="523"/>
      <c r="O921" s="523"/>
      <c r="P921" s="523"/>
      <c r="Q921" s="523"/>
      <c r="R921" s="523"/>
      <c r="S921" s="523"/>
      <c r="T921" s="523"/>
      <c r="U921" s="523"/>
      <c r="V921" s="523"/>
      <c r="W921" s="523"/>
      <c r="X921" s="523"/>
      <c r="Y921" s="523"/>
      <c r="Z921" s="523"/>
    </row>
    <row r="922" spans="1:26" ht="15.75" customHeight="1">
      <c r="A922" s="523"/>
      <c r="B922" s="523"/>
      <c r="C922" s="523"/>
      <c r="D922" s="523"/>
      <c r="E922" s="523"/>
      <c r="F922" s="523"/>
      <c r="G922" s="523"/>
      <c r="H922" s="524"/>
      <c r="I922" s="523"/>
      <c r="J922" s="523"/>
      <c r="K922" s="523"/>
      <c r="L922" s="523"/>
      <c r="M922" s="523"/>
      <c r="N922" s="523"/>
      <c r="O922" s="523"/>
      <c r="P922" s="523"/>
      <c r="Q922" s="523"/>
      <c r="R922" s="523"/>
      <c r="S922" s="523"/>
      <c r="T922" s="523"/>
      <c r="U922" s="523"/>
      <c r="V922" s="523"/>
      <c r="W922" s="523"/>
      <c r="X922" s="523"/>
      <c r="Y922" s="523"/>
      <c r="Z922" s="523"/>
    </row>
    <row r="923" spans="1:26" ht="15.75" customHeight="1">
      <c r="A923" s="523"/>
      <c r="B923" s="523"/>
      <c r="C923" s="523"/>
      <c r="D923" s="523"/>
      <c r="E923" s="523"/>
      <c r="F923" s="523"/>
      <c r="G923" s="523"/>
      <c r="H923" s="524"/>
      <c r="I923" s="523"/>
      <c r="J923" s="523"/>
      <c r="K923" s="523"/>
      <c r="L923" s="523"/>
      <c r="M923" s="523"/>
      <c r="N923" s="523"/>
      <c r="O923" s="523"/>
      <c r="P923" s="523"/>
      <c r="Q923" s="523"/>
      <c r="R923" s="523"/>
      <c r="S923" s="523"/>
      <c r="T923" s="523"/>
      <c r="U923" s="523"/>
      <c r="V923" s="523"/>
      <c r="W923" s="523"/>
      <c r="X923" s="523"/>
      <c r="Y923" s="523"/>
      <c r="Z923" s="523"/>
    </row>
    <row r="924" spans="1:26" ht="15.75" customHeight="1">
      <c r="A924" s="523"/>
      <c r="B924" s="523"/>
      <c r="C924" s="523"/>
      <c r="D924" s="523"/>
      <c r="E924" s="523"/>
      <c r="F924" s="523"/>
      <c r="G924" s="523"/>
      <c r="H924" s="524"/>
      <c r="I924" s="523"/>
      <c r="J924" s="523"/>
      <c r="K924" s="523"/>
      <c r="L924" s="523"/>
      <c r="M924" s="523"/>
      <c r="N924" s="523"/>
      <c r="O924" s="523"/>
      <c r="P924" s="523"/>
      <c r="Q924" s="523"/>
      <c r="R924" s="523"/>
      <c r="S924" s="523"/>
      <c r="T924" s="523"/>
      <c r="U924" s="523"/>
      <c r="V924" s="523"/>
      <c r="W924" s="523"/>
      <c r="X924" s="523"/>
      <c r="Y924" s="523"/>
      <c r="Z924" s="523"/>
    </row>
    <row r="925" spans="1:26" ht="15.75" customHeight="1">
      <c r="A925" s="523"/>
      <c r="B925" s="523"/>
      <c r="C925" s="523"/>
      <c r="D925" s="523"/>
      <c r="E925" s="523"/>
      <c r="F925" s="523"/>
      <c r="G925" s="523"/>
      <c r="H925" s="524"/>
      <c r="I925" s="523"/>
      <c r="J925" s="523"/>
      <c r="K925" s="523"/>
      <c r="L925" s="523"/>
      <c r="M925" s="523"/>
      <c r="N925" s="523"/>
      <c r="O925" s="523"/>
      <c r="P925" s="523"/>
      <c r="Q925" s="523"/>
      <c r="R925" s="523"/>
      <c r="S925" s="523"/>
      <c r="T925" s="523"/>
      <c r="U925" s="523"/>
      <c r="V925" s="523"/>
      <c r="W925" s="523"/>
      <c r="X925" s="523"/>
      <c r="Y925" s="523"/>
      <c r="Z925" s="523"/>
    </row>
    <row r="926" spans="1:26" ht="15.75" customHeight="1">
      <c r="A926" s="523"/>
      <c r="B926" s="523"/>
      <c r="C926" s="523"/>
      <c r="D926" s="523"/>
      <c r="E926" s="523"/>
      <c r="F926" s="523"/>
      <c r="G926" s="523"/>
      <c r="H926" s="524"/>
      <c r="I926" s="523"/>
      <c r="J926" s="523"/>
      <c r="K926" s="523"/>
      <c r="L926" s="523"/>
      <c r="M926" s="523"/>
      <c r="N926" s="523"/>
      <c r="O926" s="523"/>
      <c r="P926" s="523"/>
      <c r="Q926" s="523"/>
      <c r="R926" s="523"/>
      <c r="S926" s="523"/>
      <c r="T926" s="523"/>
      <c r="U926" s="523"/>
      <c r="V926" s="523"/>
      <c r="W926" s="523"/>
      <c r="X926" s="523"/>
      <c r="Y926" s="523"/>
      <c r="Z926" s="523"/>
    </row>
    <row r="927" spans="1:26" ht="15.75" customHeight="1">
      <c r="A927" s="523"/>
      <c r="B927" s="523"/>
      <c r="C927" s="523"/>
      <c r="D927" s="523"/>
      <c r="E927" s="523"/>
      <c r="F927" s="523"/>
      <c r="G927" s="523"/>
      <c r="H927" s="524"/>
      <c r="I927" s="523"/>
      <c r="J927" s="523"/>
      <c r="K927" s="523"/>
      <c r="L927" s="523"/>
      <c r="M927" s="523"/>
      <c r="N927" s="523"/>
      <c r="O927" s="523"/>
      <c r="P927" s="523"/>
      <c r="Q927" s="523"/>
      <c r="R927" s="523"/>
      <c r="S927" s="523"/>
      <c r="T927" s="523"/>
      <c r="U927" s="523"/>
      <c r="V927" s="523"/>
      <c r="W927" s="523"/>
      <c r="X927" s="523"/>
      <c r="Y927" s="523"/>
      <c r="Z927" s="523"/>
    </row>
    <row r="928" spans="1:26" ht="15.75" customHeight="1">
      <c r="A928" s="523"/>
      <c r="B928" s="523"/>
      <c r="C928" s="523"/>
      <c r="D928" s="523"/>
      <c r="E928" s="523"/>
      <c r="F928" s="523"/>
      <c r="G928" s="523"/>
      <c r="H928" s="524"/>
      <c r="I928" s="523"/>
      <c r="J928" s="523"/>
      <c r="K928" s="523"/>
      <c r="L928" s="523"/>
      <c r="M928" s="523"/>
      <c r="N928" s="523"/>
      <c r="O928" s="523"/>
      <c r="P928" s="523"/>
      <c r="Q928" s="523"/>
      <c r="R928" s="523"/>
      <c r="S928" s="523"/>
      <c r="T928" s="523"/>
      <c r="U928" s="523"/>
      <c r="V928" s="523"/>
      <c r="W928" s="523"/>
      <c r="X928" s="523"/>
      <c r="Y928" s="523"/>
      <c r="Z928" s="523"/>
    </row>
    <row r="929" spans="1:26" ht="15.75" customHeight="1">
      <c r="A929" s="523"/>
      <c r="B929" s="523"/>
      <c r="C929" s="523"/>
      <c r="D929" s="523"/>
      <c r="E929" s="523"/>
      <c r="F929" s="523"/>
      <c r="G929" s="523"/>
      <c r="H929" s="524"/>
      <c r="I929" s="523"/>
      <c r="J929" s="523"/>
      <c r="K929" s="523"/>
      <c r="L929" s="523"/>
      <c r="M929" s="523"/>
      <c r="N929" s="523"/>
      <c r="O929" s="523"/>
      <c r="P929" s="523"/>
      <c r="Q929" s="523"/>
      <c r="R929" s="523"/>
      <c r="S929" s="523"/>
      <c r="T929" s="523"/>
      <c r="U929" s="523"/>
      <c r="V929" s="523"/>
      <c r="W929" s="523"/>
      <c r="X929" s="523"/>
      <c r="Y929" s="523"/>
      <c r="Z929" s="523"/>
    </row>
    <row r="930" spans="1:26" ht="15.75" customHeight="1">
      <c r="A930" s="523"/>
      <c r="B930" s="523"/>
      <c r="C930" s="523"/>
      <c r="D930" s="523"/>
      <c r="E930" s="523"/>
      <c r="F930" s="523"/>
      <c r="G930" s="523"/>
      <c r="H930" s="524"/>
      <c r="I930" s="523"/>
      <c r="J930" s="523"/>
      <c r="K930" s="523"/>
      <c r="L930" s="523"/>
      <c r="M930" s="523"/>
      <c r="N930" s="523"/>
      <c r="O930" s="523"/>
      <c r="P930" s="523"/>
      <c r="Q930" s="523"/>
      <c r="R930" s="523"/>
      <c r="S930" s="523"/>
      <c r="T930" s="523"/>
      <c r="U930" s="523"/>
      <c r="V930" s="523"/>
      <c r="W930" s="523"/>
      <c r="X930" s="523"/>
      <c r="Y930" s="523"/>
      <c r="Z930" s="523"/>
    </row>
    <row r="931" spans="1:26" ht="15.75" customHeight="1">
      <c r="A931" s="523"/>
      <c r="B931" s="523"/>
      <c r="C931" s="523"/>
      <c r="D931" s="523"/>
      <c r="E931" s="523"/>
      <c r="F931" s="523"/>
      <c r="G931" s="523"/>
      <c r="H931" s="524"/>
      <c r="I931" s="523"/>
      <c r="J931" s="523"/>
      <c r="K931" s="523"/>
      <c r="L931" s="523"/>
      <c r="M931" s="523"/>
      <c r="N931" s="523"/>
      <c r="O931" s="523"/>
      <c r="P931" s="523"/>
      <c r="Q931" s="523"/>
      <c r="R931" s="523"/>
      <c r="S931" s="523"/>
      <c r="T931" s="523"/>
      <c r="U931" s="523"/>
      <c r="V931" s="523"/>
      <c r="W931" s="523"/>
      <c r="X931" s="523"/>
      <c r="Y931" s="523"/>
      <c r="Z931" s="523"/>
    </row>
    <row r="932" spans="1:26" ht="15.75" customHeight="1">
      <c r="A932" s="523"/>
      <c r="B932" s="523"/>
      <c r="C932" s="523"/>
      <c r="D932" s="523"/>
      <c r="E932" s="523"/>
      <c r="F932" s="523"/>
      <c r="G932" s="523"/>
      <c r="H932" s="524"/>
      <c r="I932" s="523"/>
      <c r="J932" s="523"/>
      <c r="K932" s="523"/>
      <c r="L932" s="523"/>
      <c r="M932" s="523"/>
      <c r="N932" s="523"/>
      <c r="O932" s="523"/>
      <c r="P932" s="523"/>
      <c r="Q932" s="523"/>
      <c r="R932" s="523"/>
      <c r="S932" s="523"/>
      <c r="T932" s="523"/>
      <c r="U932" s="523"/>
      <c r="V932" s="523"/>
      <c r="W932" s="523"/>
      <c r="X932" s="523"/>
      <c r="Y932" s="523"/>
      <c r="Z932" s="523"/>
    </row>
    <row r="933" spans="1:26" ht="15.75" customHeight="1">
      <c r="A933" s="523"/>
      <c r="B933" s="523"/>
      <c r="C933" s="523"/>
      <c r="D933" s="523"/>
      <c r="E933" s="523"/>
      <c r="F933" s="523"/>
      <c r="G933" s="523"/>
      <c r="H933" s="524"/>
      <c r="I933" s="523"/>
      <c r="J933" s="523"/>
      <c r="K933" s="523"/>
      <c r="L933" s="523"/>
      <c r="M933" s="523"/>
      <c r="N933" s="523"/>
      <c r="O933" s="523"/>
      <c r="P933" s="523"/>
      <c r="Q933" s="523"/>
      <c r="R933" s="523"/>
      <c r="S933" s="523"/>
      <c r="T933" s="523"/>
      <c r="U933" s="523"/>
      <c r="V933" s="523"/>
      <c r="W933" s="523"/>
      <c r="X933" s="523"/>
      <c r="Y933" s="523"/>
      <c r="Z933" s="523"/>
    </row>
    <row r="934" spans="1:26" ht="15.75" customHeight="1">
      <c r="A934" s="523"/>
      <c r="B934" s="523"/>
      <c r="C934" s="523"/>
      <c r="D934" s="523"/>
      <c r="E934" s="523"/>
      <c r="F934" s="523"/>
      <c r="G934" s="523"/>
      <c r="H934" s="524"/>
      <c r="I934" s="523"/>
      <c r="J934" s="523"/>
      <c r="K934" s="523"/>
      <c r="L934" s="523"/>
      <c r="M934" s="523"/>
      <c r="N934" s="523"/>
      <c r="O934" s="523"/>
      <c r="P934" s="523"/>
      <c r="Q934" s="523"/>
      <c r="R934" s="523"/>
      <c r="S934" s="523"/>
      <c r="T934" s="523"/>
      <c r="U934" s="523"/>
      <c r="V934" s="523"/>
      <c r="W934" s="523"/>
      <c r="X934" s="523"/>
      <c r="Y934" s="523"/>
      <c r="Z934" s="523"/>
    </row>
    <row r="935" spans="1:26" ht="15.75" customHeight="1">
      <c r="A935" s="523"/>
      <c r="B935" s="523"/>
      <c r="C935" s="523"/>
      <c r="D935" s="523"/>
      <c r="E935" s="523"/>
      <c r="F935" s="523"/>
      <c r="G935" s="523"/>
      <c r="H935" s="524"/>
      <c r="I935" s="523"/>
      <c r="J935" s="523"/>
      <c r="K935" s="523"/>
      <c r="L935" s="523"/>
      <c r="M935" s="523"/>
      <c r="N935" s="523"/>
      <c r="O935" s="523"/>
      <c r="P935" s="523"/>
      <c r="Q935" s="523"/>
      <c r="R935" s="523"/>
      <c r="S935" s="523"/>
      <c r="T935" s="523"/>
      <c r="U935" s="523"/>
      <c r="V935" s="523"/>
      <c r="W935" s="523"/>
      <c r="X935" s="523"/>
      <c r="Y935" s="523"/>
      <c r="Z935" s="523"/>
    </row>
    <row r="936" spans="1:26" ht="15.75" customHeight="1">
      <c r="A936" s="523"/>
      <c r="B936" s="523"/>
      <c r="C936" s="523"/>
      <c r="D936" s="523"/>
      <c r="E936" s="523"/>
      <c r="F936" s="523"/>
      <c r="G936" s="523"/>
      <c r="H936" s="524"/>
      <c r="I936" s="523"/>
      <c r="J936" s="523"/>
      <c r="K936" s="523"/>
      <c r="L936" s="523"/>
      <c r="M936" s="523"/>
      <c r="N936" s="523"/>
      <c r="O936" s="523"/>
      <c r="P936" s="523"/>
      <c r="Q936" s="523"/>
      <c r="R936" s="523"/>
      <c r="S936" s="523"/>
      <c r="T936" s="523"/>
      <c r="U936" s="523"/>
      <c r="V936" s="523"/>
      <c r="W936" s="523"/>
      <c r="X936" s="523"/>
      <c r="Y936" s="523"/>
      <c r="Z936" s="523"/>
    </row>
    <row r="937" spans="1:26" ht="15.75" customHeight="1">
      <c r="A937" s="523"/>
      <c r="B937" s="523"/>
      <c r="C937" s="523"/>
      <c r="D937" s="523"/>
      <c r="E937" s="523"/>
      <c r="F937" s="523"/>
      <c r="G937" s="523"/>
      <c r="H937" s="524"/>
      <c r="I937" s="523"/>
      <c r="J937" s="523"/>
      <c r="K937" s="523"/>
      <c r="L937" s="523"/>
      <c r="M937" s="523"/>
      <c r="N937" s="523"/>
      <c r="O937" s="523"/>
      <c r="P937" s="523"/>
      <c r="Q937" s="523"/>
      <c r="R937" s="523"/>
      <c r="S937" s="523"/>
      <c r="T937" s="523"/>
      <c r="U937" s="523"/>
      <c r="V937" s="523"/>
      <c r="W937" s="523"/>
      <c r="X937" s="523"/>
      <c r="Y937" s="523"/>
      <c r="Z937" s="523"/>
    </row>
    <row r="938" spans="1:26" ht="15.75" customHeight="1">
      <c r="A938" s="523"/>
      <c r="B938" s="523"/>
      <c r="C938" s="523"/>
      <c r="D938" s="523"/>
      <c r="E938" s="523"/>
      <c r="F938" s="523"/>
      <c r="G938" s="523"/>
      <c r="H938" s="524"/>
      <c r="I938" s="523"/>
      <c r="J938" s="523"/>
      <c r="K938" s="523"/>
      <c r="L938" s="523"/>
      <c r="M938" s="523"/>
      <c r="N938" s="523"/>
      <c r="O938" s="523"/>
      <c r="P938" s="523"/>
      <c r="Q938" s="523"/>
      <c r="R938" s="523"/>
      <c r="S938" s="523"/>
      <c r="T938" s="523"/>
      <c r="U938" s="523"/>
      <c r="V938" s="523"/>
      <c r="W938" s="523"/>
      <c r="X938" s="523"/>
      <c r="Y938" s="523"/>
      <c r="Z938" s="523"/>
    </row>
    <row r="939" spans="1:26" ht="15.75" customHeight="1">
      <c r="A939" s="523"/>
      <c r="B939" s="523"/>
      <c r="C939" s="523"/>
      <c r="D939" s="523"/>
      <c r="E939" s="523"/>
      <c r="F939" s="523"/>
      <c r="G939" s="523"/>
      <c r="H939" s="524"/>
      <c r="I939" s="523"/>
      <c r="J939" s="523"/>
      <c r="K939" s="523"/>
      <c r="L939" s="523"/>
      <c r="M939" s="523"/>
      <c r="N939" s="523"/>
      <c r="O939" s="523"/>
      <c r="P939" s="523"/>
      <c r="Q939" s="523"/>
      <c r="R939" s="523"/>
      <c r="S939" s="523"/>
      <c r="T939" s="523"/>
      <c r="U939" s="523"/>
      <c r="V939" s="523"/>
      <c r="W939" s="523"/>
      <c r="X939" s="523"/>
      <c r="Y939" s="523"/>
      <c r="Z939" s="523"/>
    </row>
    <row r="940" spans="1:26" ht="15.75" customHeight="1">
      <c r="A940" s="523"/>
      <c r="B940" s="523"/>
      <c r="C940" s="523"/>
      <c r="D940" s="523"/>
      <c r="E940" s="523"/>
      <c r="F940" s="523"/>
      <c r="G940" s="523"/>
      <c r="H940" s="524"/>
      <c r="I940" s="523"/>
      <c r="J940" s="523"/>
      <c r="K940" s="523"/>
      <c r="L940" s="523"/>
      <c r="M940" s="523"/>
      <c r="N940" s="523"/>
      <c r="O940" s="523"/>
      <c r="P940" s="523"/>
      <c r="Q940" s="523"/>
      <c r="R940" s="523"/>
      <c r="S940" s="523"/>
      <c r="T940" s="523"/>
      <c r="U940" s="523"/>
      <c r="V940" s="523"/>
      <c r="W940" s="523"/>
      <c r="X940" s="523"/>
      <c r="Y940" s="523"/>
      <c r="Z940" s="523"/>
    </row>
    <row r="941" spans="1:26" ht="15.75" customHeight="1">
      <c r="A941" s="523"/>
      <c r="B941" s="523"/>
      <c r="C941" s="523"/>
      <c r="D941" s="523"/>
      <c r="E941" s="523"/>
      <c r="F941" s="523"/>
      <c r="G941" s="523"/>
      <c r="H941" s="524"/>
      <c r="I941" s="523"/>
      <c r="J941" s="523"/>
      <c r="K941" s="523"/>
      <c r="L941" s="523"/>
      <c r="M941" s="523"/>
      <c r="N941" s="523"/>
      <c r="O941" s="523"/>
      <c r="P941" s="523"/>
      <c r="Q941" s="523"/>
      <c r="R941" s="523"/>
      <c r="S941" s="523"/>
      <c r="T941" s="523"/>
      <c r="U941" s="523"/>
      <c r="V941" s="523"/>
      <c r="W941" s="523"/>
      <c r="X941" s="523"/>
      <c r="Y941" s="523"/>
      <c r="Z941" s="523"/>
    </row>
    <row r="942" spans="1:26" ht="15.75" customHeight="1">
      <c r="A942" s="523"/>
      <c r="B942" s="523"/>
      <c r="C942" s="523"/>
      <c r="D942" s="523"/>
      <c r="E942" s="523"/>
      <c r="F942" s="523"/>
      <c r="G942" s="523"/>
      <c r="H942" s="524"/>
      <c r="I942" s="523"/>
      <c r="J942" s="523"/>
      <c r="K942" s="523"/>
      <c r="L942" s="523"/>
      <c r="M942" s="523"/>
      <c r="N942" s="523"/>
      <c r="O942" s="523"/>
      <c r="P942" s="523"/>
      <c r="Q942" s="523"/>
      <c r="R942" s="523"/>
      <c r="S942" s="523"/>
      <c r="T942" s="523"/>
      <c r="U942" s="523"/>
      <c r="V942" s="523"/>
      <c r="W942" s="523"/>
      <c r="X942" s="523"/>
      <c r="Y942" s="523"/>
      <c r="Z942" s="523"/>
    </row>
    <row r="943" spans="1:26" ht="15.75" customHeight="1">
      <c r="A943" s="523"/>
      <c r="B943" s="523"/>
      <c r="C943" s="523"/>
      <c r="D943" s="523"/>
      <c r="E943" s="523"/>
      <c r="F943" s="523"/>
      <c r="G943" s="523"/>
      <c r="H943" s="524"/>
      <c r="I943" s="523"/>
      <c r="J943" s="523"/>
      <c r="K943" s="523"/>
      <c r="L943" s="523"/>
      <c r="M943" s="523"/>
      <c r="N943" s="523"/>
      <c r="O943" s="523"/>
      <c r="P943" s="523"/>
      <c r="Q943" s="523"/>
      <c r="R943" s="523"/>
      <c r="S943" s="523"/>
      <c r="T943" s="523"/>
      <c r="U943" s="523"/>
      <c r="V943" s="523"/>
      <c r="W943" s="523"/>
      <c r="X943" s="523"/>
      <c r="Y943" s="523"/>
      <c r="Z943" s="523"/>
    </row>
    <row r="944" spans="1:26" ht="15.75" customHeight="1">
      <c r="A944" s="523"/>
      <c r="B944" s="523"/>
      <c r="C944" s="523"/>
      <c r="D944" s="523"/>
      <c r="E944" s="523"/>
      <c r="F944" s="523"/>
      <c r="G944" s="523"/>
      <c r="H944" s="524"/>
      <c r="I944" s="523"/>
      <c r="J944" s="523"/>
      <c r="K944" s="523"/>
      <c r="L944" s="523"/>
      <c r="M944" s="523"/>
      <c r="N944" s="523"/>
      <c r="O944" s="523"/>
      <c r="P944" s="523"/>
      <c r="Q944" s="523"/>
      <c r="R944" s="523"/>
      <c r="S944" s="523"/>
      <c r="T944" s="523"/>
      <c r="U944" s="523"/>
      <c r="V944" s="523"/>
      <c r="W944" s="523"/>
      <c r="X944" s="523"/>
      <c r="Y944" s="523"/>
      <c r="Z944" s="523"/>
    </row>
    <row r="945" spans="1:26" ht="15.75" customHeight="1">
      <c r="A945" s="523"/>
      <c r="B945" s="523"/>
      <c r="C945" s="523"/>
      <c r="D945" s="523"/>
      <c r="E945" s="523"/>
      <c r="F945" s="523"/>
      <c r="G945" s="523"/>
      <c r="H945" s="524"/>
      <c r="I945" s="523"/>
      <c r="J945" s="523"/>
      <c r="K945" s="523"/>
      <c r="L945" s="523"/>
      <c r="M945" s="523"/>
      <c r="N945" s="523"/>
      <c r="O945" s="523"/>
      <c r="P945" s="523"/>
      <c r="Q945" s="523"/>
      <c r="R945" s="523"/>
      <c r="S945" s="523"/>
      <c r="T945" s="523"/>
      <c r="U945" s="523"/>
      <c r="V945" s="523"/>
      <c r="W945" s="523"/>
      <c r="X945" s="523"/>
      <c r="Y945" s="523"/>
      <c r="Z945" s="523"/>
    </row>
    <row r="946" spans="1:26" ht="15.75" customHeight="1">
      <c r="A946" s="523"/>
      <c r="B946" s="523"/>
      <c r="C946" s="523"/>
      <c r="D946" s="523"/>
      <c r="E946" s="523"/>
      <c r="F946" s="523"/>
      <c r="G946" s="523"/>
      <c r="H946" s="524"/>
      <c r="I946" s="523"/>
      <c r="J946" s="523"/>
      <c r="K946" s="523"/>
      <c r="L946" s="523"/>
      <c r="M946" s="523"/>
      <c r="N946" s="523"/>
      <c r="O946" s="523"/>
      <c r="P946" s="523"/>
      <c r="Q946" s="523"/>
      <c r="R946" s="523"/>
      <c r="S946" s="523"/>
      <c r="T946" s="523"/>
      <c r="U946" s="523"/>
      <c r="V946" s="523"/>
      <c r="W946" s="523"/>
      <c r="X946" s="523"/>
      <c r="Y946" s="523"/>
      <c r="Z946" s="523"/>
    </row>
    <row r="947" spans="1:26" ht="15.75" customHeight="1">
      <c r="A947" s="523"/>
      <c r="B947" s="523"/>
      <c r="C947" s="523"/>
      <c r="D947" s="523"/>
      <c r="E947" s="523"/>
      <c r="F947" s="523"/>
      <c r="G947" s="523"/>
      <c r="H947" s="524"/>
      <c r="I947" s="523"/>
      <c r="J947" s="523"/>
      <c r="K947" s="523"/>
      <c r="L947" s="523"/>
      <c r="M947" s="523"/>
      <c r="N947" s="523"/>
      <c r="O947" s="523"/>
      <c r="P947" s="523"/>
      <c r="Q947" s="523"/>
      <c r="R947" s="523"/>
      <c r="S947" s="523"/>
      <c r="T947" s="523"/>
      <c r="U947" s="523"/>
      <c r="V947" s="523"/>
      <c r="W947" s="523"/>
      <c r="X947" s="523"/>
      <c r="Y947" s="523"/>
      <c r="Z947" s="523"/>
    </row>
    <row r="948" spans="1:26" ht="15.75" customHeight="1">
      <c r="A948" s="523"/>
      <c r="B948" s="523"/>
      <c r="C948" s="523"/>
      <c r="D948" s="523"/>
      <c r="E948" s="523"/>
      <c r="F948" s="523"/>
      <c r="G948" s="523"/>
      <c r="H948" s="524"/>
      <c r="I948" s="523"/>
      <c r="J948" s="523"/>
      <c r="K948" s="523"/>
      <c r="L948" s="523"/>
      <c r="M948" s="523"/>
      <c r="N948" s="523"/>
      <c r="O948" s="523"/>
      <c r="P948" s="523"/>
      <c r="Q948" s="523"/>
      <c r="R948" s="523"/>
      <c r="S948" s="523"/>
      <c r="T948" s="523"/>
      <c r="U948" s="523"/>
      <c r="V948" s="523"/>
      <c r="W948" s="523"/>
      <c r="X948" s="523"/>
      <c r="Y948" s="523"/>
      <c r="Z948" s="523"/>
    </row>
    <row r="949" spans="1:26" ht="15.75" customHeight="1">
      <c r="A949" s="523"/>
      <c r="B949" s="523"/>
      <c r="C949" s="523"/>
      <c r="D949" s="523"/>
      <c r="E949" s="523"/>
      <c r="F949" s="523"/>
      <c r="G949" s="523"/>
      <c r="H949" s="524"/>
      <c r="I949" s="523"/>
      <c r="J949" s="523"/>
      <c r="K949" s="523"/>
      <c r="L949" s="523"/>
      <c r="M949" s="523"/>
      <c r="N949" s="523"/>
      <c r="O949" s="523"/>
      <c r="P949" s="523"/>
      <c r="Q949" s="523"/>
      <c r="R949" s="523"/>
      <c r="S949" s="523"/>
      <c r="T949" s="523"/>
      <c r="U949" s="523"/>
      <c r="V949" s="523"/>
      <c r="W949" s="523"/>
      <c r="X949" s="523"/>
      <c r="Y949" s="523"/>
      <c r="Z949" s="523"/>
    </row>
    <row r="950" spans="1:26" ht="15.75" customHeight="1">
      <c r="A950" s="523"/>
      <c r="B950" s="523"/>
      <c r="C950" s="523"/>
      <c r="D950" s="523"/>
      <c r="E950" s="523"/>
      <c r="F950" s="523"/>
      <c r="G950" s="523"/>
      <c r="H950" s="524"/>
      <c r="I950" s="523"/>
      <c r="J950" s="523"/>
      <c r="K950" s="523"/>
      <c r="L950" s="523"/>
      <c r="M950" s="523"/>
      <c r="N950" s="523"/>
      <c r="O950" s="523"/>
      <c r="P950" s="523"/>
      <c r="Q950" s="523"/>
      <c r="R950" s="523"/>
      <c r="S950" s="523"/>
      <c r="T950" s="523"/>
      <c r="U950" s="523"/>
      <c r="V950" s="523"/>
      <c r="W950" s="523"/>
      <c r="X950" s="523"/>
      <c r="Y950" s="523"/>
      <c r="Z950" s="523"/>
    </row>
    <row r="951" spans="1:26" ht="15.75" customHeight="1">
      <c r="A951" s="523"/>
      <c r="B951" s="523"/>
      <c r="C951" s="523"/>
      <c r="D951" s="523"/>
      <c r="E951" s="523"/>
      <c r="F951" s="523"/>
      <c r="G951" s="523"/>
      <c r="H951" s="524"/>
      <c r="I951" s="523"/>
      <c r="J951" s="523"/>
      <c r="K951" s="523"/>
      <c r="L951" s="523"/>
      <c r="M951" s="523"/>
      <c r="N951" s="523"/>
      <c r="O951" s="523"/>
      <c r="P951" s="523"/>
      <c r="Q951" s="523"/>
      <c r="R951" s="523"/>
      <c r="S951" s="523"/>
      <c r="T951" s="523"/>
      <c r="U951" s="523"/>
      <c r="V951" s="523"/>
      <c r="W951" s="523"/>
      <c r="X951" s="523"/>
      <c r="Y951" s="523"/>
      <c r="Z951" s="523"/>
    </row>
    <row r="952" spans="1:26" ht="15.75" customHeight="1">
      <c r="A952" s="523"/>
      <c r="B952" s="523"/>
      <c r="C952" s="523"/>
      <c r="D952" s="523"/>
      <c r="E952" s="523"/>
      <c r="F952" s="523"/>
      <c r="G952" s="523"/>
      <c r="H952" s="524"/>
      <c r="I952" s="523"/>
      <c r="J952" s="523"/>
      <c r="K952" s="523"/>
      <c r="L952" s="523"/>
      <c r="M952" s="523"/>
      <c r="N952" s="523"/>
      <c r="O952" s="523"/>
      <c r="P952" s="523"/>
      <c r="Q952" s="523"/>
      <c r="R952" s="523"/>
      <c r="S952" s="523"/>
      <c r="T952" s="523"/>
      <c r="U952" s="523"/>
      <c r="V952" s="523"/>
      <c r="W952" s="523"/>
      <c r="X952" s="523"/>
      <c r="Y952" s="523"/>
      <c r="Z952" s="523"/>
    </row>
    <row r="953" spans="1:26" ht="15.75" customHeight="1">
      <c r="A953" s="523"/>
      <c r="B953" s="523"/>
      <c r="C953" s="523"/>
      <c r="D953" s="523"/>
      <c r="E953" s="523"/>
      <c r="F953" s="523"/>
      <c r="G953" s="523"/>
      <c r="H953" s="524"/>
      <c r="I953" s="523"/>
      <c r="J953" s="523"/>
      <c r="K953" s="523"/>
      <c r="L953" s="523"/>
      <c r="M953" s="523"/>
      <c r="N953" s="523"/>
      <c r="O953" s="523"/>
      <c r="P953" s="523"/>
      <c r="Q953" s="523"/>
      <c r="R953" s="523"/>
      <c r="S953" s="523"/>
      <c r="T953" s="523"/>
      <c r="U953" s="523"/>
      <c r="V953" s="523"/>
      <c r="W953" s="523"/>
      <c r="X953" s="523"/>
      <c r="Y953" s="523"/>
      <c r="Z953" s="523"/>
    </row>
    <row r="954" spans="1:26" ht="15.75" customHeight="1">
      <c r="A954" s="523"/>
      <c r="B954" s="523"/>
      <c r="C954" s="523"/>
      <c r="D954" s="523"/>
      <c r="E954" s="523"/>
      <c r="F954" s="523"/>
      <c r="G954" s="523"/>
      <c r="H954" s="524"/>
      <c r="I954" s="523"/>
      <c r="J954" s="523"/>
      <c r="K954" s="523"/>
      <c r="L954" s="523"/>
      <c r="M954" s="523"/>
      <c r="N954" s="523"/>
      <c r="O954" s="523"/>
      <c r="P954" s="523"/>
      <c r="Q954" s="523"/>
      <c r="R954" s="523"/>
      <c r="S954" s="523"/>
      <c r="T954" s="523"/>
      <c r="U954" s="523"/>
      <c r="V954" s="523"/>
      <c r="W954" s="523"/>
      <c r="X954" s="523"/>
      <c r="Y954" s="523"/>
      <c r="Z954" s="523"/>
    </row>
    <row r="955" spans="1:26" ht="15.75" customHeight="1">
      <c r="A955" s="523"/>
      <c r="B955" s="523"/>
      <c r="C955" s="523"/>
      <c r="D955" s="523"/>
      <c r="E955" s="523"/>
      <c r="F955" s="523"/>
      <c r="G955" s="523"/>
      <c r="H955" s="524"/>
      <c r="I955" s="523"/>
      <c r="J955" s="523"/>
      <c r="K955" s="523"/>
      <c r="L955" s="523"/>
      <c r="M955" s="523"/>
      <c r="N955" s="523"/>
      <c r="O955" s="523"/>
      <c r="P955" s="523"/>
      <c r="Q955" s="523"/>
      <c r="R955" s="523"/>
      <c r="S955" s="523"/>
      <c r="T955" s="523"/>
      <c r="U955" s="523"/>
      <c r="V955" s="523"/>
      <c r="W955" s="523"/>
      <c r="X955" s="523"/>
      <c r="Y955" s="523"/>
      <c r="Z955" s="523"/>
    </row>
    <row r="956" spans="1:26" ht="15.75" customHeight="1">
      <c r="A956" s="523"/>
      <c r="B956" s="523"/>
      <c r="C956" s="523"/>
      <c r="D956" s="523"/>
      <c r="E956" s="523"/>
      <c r="F956" s="523"/>
      <c r="G956" s="523"/>
      <c r="H956" s="524"/>
      <c r="I956" s="523"/>
      <c r="J956" s="523"/>
      <c r="K956" s="523"/>
      <c r="L956" s="523"/>
      <c r="M956" s="523"/>
      <c r="N956" s="523"/>
      <c r="O956" s="523"/>
      <c r="P956" s="523"/>
      <c r="Q956" s="523"/>
      <c r="R956" s="523"/>
      <c r="S956" s="523"/>
      <c r="T956" s="523"/>
      <c r="U956" s="523"/>
      <c r="V956" s="523"/>
      <c r="W956" s="523"/>
      <c r="X956" s="523"/>
      <c r="Y956" s="523"/>
      <c r="Z956" s="523"/>
    </row>
    <row r="957" spans="1:26" ht="15.75" customHeight="1">
      <c r="A957" s="523"/>
      <c r="B957" s="523"/>
      <c r="C957" s="523"/>
      <c r="D957" s="523"/>
      <c r="E957" s="523"/>
      <c r="F957" s="523"/>
      <c r="G957" s="523"/>
      <c r="H957" s="524"/>
      <c r="I957" s="523"/>
      <c r="J957" s="523"/>
      <c r="K957" s="523"/>
      <c r="L957" s="523"/>
      <c r="M957" s="523"/>
      <c r="N957" s="523"/>
      <c r="O957" s="523"/>
      <c r="P957" s="523"/>
      <c r="Q957" s="523"/>
      <c r="R957" s="523"/>
      <c r="S957" s="523"/>
      <c r="T957" s="523"/>
      <c r="U957" s="523"/>
      <c r="V957" s="523"/>
      <c r="W957" s="523"/>
      <c r="X957" s="523"/>
      <c r="Y957" s="523"/>
      <c r="Z957" s="523"/>
    </row>
    <row r="958" spans="1:26" ht="15.75" customHeight="1">
      <c r="A958" s="523"/>
      <c r="B958" s="523"/>
      <c r="C958" s="523"/>
      <c r="D958" s="523"/>
      <c r="E958" s="523"/>
      <c r="F958" s="523"/>
      <c r="G958" s="523"/>
      <c r="H958" s="524"/>
      <c r="I958" s="523"/>
      <c r="J958" s="523"/>
      <c r="K958" s="523"/>
      <c r="L958" s="523"/>
      <c r="M958" s="523"/>
      <c r="N958" s="523"/>
      <c r="O958" s="523"/>
      <c r="P958" s="523"/>
      <c r="Q958" s="523"/>
      <c r="R958" s="523"/>
      <c r="S958" s="523"/>
      <c r="T958" s="523"/>
      <c r="U958" s="523"/>
      <c r="V958" s="523"/>
      <c r="W958" s="523"/>
      <c r="X958" s="523"/>
      <c r="Y958" s="523"/>
      <c r="Z958" s="523"/>
    </row>
    <row r="959" spans="1:26" ht="15.75" customHeight="1">
      <c r="A959" s="523"/>
      <c r="B959" s="523"/>
      <c r="C959" s="523"/>
      <c r="D959" s="523"/>
      <c r="E959" s="523"/>
      <c r="F959" s="523"/>
      <c r="G959" s="523"/>
      <c r="H959" s="524"/>
      <c r="I959" s="523"/>
      <c r="J959" s="523"/>
      <c r="K959" s="523"/>
      <c r="L959" s="523"/>
      <c r="M959" s="523"/>
      <c r="N959" s="523"/>
      <c r="O959" s="523"/>
      <c r="P959" s="523"/>
      <c r="Q959" s="523"/>
      <c r="R959" s="523"/>
      <c r="S959" s="523"/>
      <c r="T959" s="523"/>
      <c r="U959" s="523"/>
      <c r="V959" s="523"/>
      <c r="W959" s="523"/>
      <c r="X959" s="523"/>
      <c r="Y959" s="523"/>
      <c r="Z959" s="523"/>
    </row>
    <row r="960" spans="1:26" ht="15.75" customHeight="1">
      <c r="A960" s="523"/>
      <c r="B960" s="523"/>
      <c r="C960" s="523"/>
      <c r="D960" s="523"/>
      <c r="E960" s="523"/>
      <c r="F960" s="523"/>
      <c r="G960" s="523"/>
      <c r="H960" s="524"/>
      <c r="I960" s="523"/>
      <c r="J960" s="523"/>
      <c r="K960" s="523"/>
      <c r="L960" s="523"/>
      <c r="M960" s="523"/>
      <c r="N960" s="523"/>
      <c r="O960" s="523"/>
      <c r="P960" s="523"/>
      <c r="Q960" s="523"/>
      <c r="R960" s="523"/>
      <c r="S960" s="523"/>
      <c r="T960" s="523"/>
      <c r="U960" s="523"/>
      <c r="V960" s="523"/>
      <c r="W960" s="523"/>
      <c r="X960" s="523"/>
      <c r="Y960" s="523"/>
      <c r="Z960" s="523"/>
    </row>
    <row r="961" spans="1:26" ht="15.75" customHeight="1">
      <c r="A961" s="523"/>
      <c r="B961" s="523"/>
      <c r="C961" s="523"/>
      <c r="D961" s="523"/>
      <c r="E961" s="523"/>
      <c r="F961" s="523"/>
      <c r="G961" s="523"/>
      <c r="H961" s="524"/>
      <c r="I961" s="523"/>
      <c r="J961" s="523"/>
      <c r="K961" s="523"/>
      <c r="L961" s="523"/>
      <c r="M961" s="523"/>
      <c r="N961" s="523"/>
      <c r="O961" s="523"/>
      <c r="P961" s="523"/>
      <c r="Q961" s="523"/>
      <c r="R961" s="523"/>
      <c r="S961" s="523"/>
      <c r="T961" s="523"/>
      <c r="U961" s="523"/>
      <c r="V961" s="523"/>
      <c r="W961" s="523"/>
      <c r="X961" s="523"/>
      <c r="Y961" s="523"/>
      <c r="Z961" s="523"/>
    </row>
    <row r="962" spans="1:26" ht="15.75" customHeight="1">
      <c r="A962" s="523"/>
      <c r="B962" s="523"/>
      <c r="C962" s="523"/>
      <c r="D962" s="523"/>
      <c r="E962" s="523"/>
      <c r="F962" s="523"/>
      <c r="G962" s="523"/>
      <c r="H962" s="524"/>
      <c r="I962" s="523"/>
      <c r="J962" s="523"/>
      <c r="K962" s="523"/>
      <c r="L962" s="523"/>
      <c r="M962" s="523"/>
      <c r="N962" s="523"/>
      <c r="O962" s="523"/>
      <c r="P962" s="523"/>
      <c r="Q962" s="523"/>
      <c r="R962" s="523"/>
      <c r="S962" s="523"/>
      <c r="T962" s="523"/>
      <c r="U962" s="523"/>
      <c r="V962" s="523"/>
      <c r="W962" s="523"/>
      <c r="X962" s="523"/>
      <c r="Y962" s="523"/>
      <c r="Z962" s="523"/>
    </row>
    <row r="963" spans="1:26" ht="15.75" customHeight="1">
      <c r="A963" s="523"/>
      <c r="B963" s="523"/>
      <c r="C963" s="523"/>
      <c r="D963" s="523"/>
      <c r="E963" s="523"/>
      <c r="F963" s="523"/>
      <c r="G963" s="523"/>
      <c r="H963" s="524"/>
      <c r="I963" s="523"/>
      <c r="J963" s="523"/>
      <c r="K963" s="523"/>
      <c r="L963" s="523"/>
      <c r="M963" s="523"/>
      <c r="N963" s="523"/>
      <c r="O963" s="523"/>
      <c r="P963" s="523"/>
      <c r="Q963" s="523"/>
      <c r="R963" s="523"/>
      <c r="S963" s="523"/>
      <c r="T963" s="523"/>
      <c r="U963" s="523"/>
      <c r="V963" s="523"/>
      <c r="W963" s="523"/>
      <c r="X963" s="523"/>
      <c r="Y963" s="523"/>
      <c r="Z963" s="523"/>
    </row>
    <row r="964" spans="1:26" ht="15.75" customHeight="1">
      <c r="A964" s="523"/>
      <c r="B964" s="523"/>
      <c r="C964" s="523"/>
      <c r="D964" s="523"/>
      <c r="E964" s="523"/>
      <c r="F964" s="523"/>
      <c r="G964" s="523"/>
      <c r="H964" s="524"/>
      <c r="I964" s="523"/>
      <c r="J964" s="523"/>
      <c r="K964" s="523"/>
      <c r="L964" s="523"/>
      <c r="M964" s="523"/>
      <c r="N964" s="523"/>
      <c r="O964" s="523"/>
      <c r="P964" s="523"/>
      <c r="Q964" s="523"/>
      <c r="R964" s="523"/>
      <c r="S964" s="523"/>
      <c r="T964" s="523"/>
      <c r="U964" s="523"/>
      <c r="V964" s="523"/>
      <c r="W964" s="523"/>
      <c r="X964" s="523"/>
      <c r="Y964" s="523"/>
      <c r="Z964" s="523"/>
    </row>
    <row r="965" spans="1:26" ht="15.75" customHeight="1">
      <c r="A965" s="523"/>
      <c r="B965" s="523"/>
      <c r="C965" s="523"/>
      <c r="D965" s="523"/>
      <c r="E965" s="523"/>
      <c r="F965" s="523"/>
      <c r="G965" s="523"/>
      <c r="H965" s="524"/>
      <c r="I965" s="523"/>
      <c r="J965" s="523"/>
      <c r="K965" s="523"/>
      <c r="L965" s="523"/>
      <c r="M965" s="523"/>
      <c r="N965" s="523"/>
      <c r="O965" s="523"/>
      <c r="P965" s="523"/>
      <c r="Q965" s="523"/>
      <c r="R965" s="523"/>
      <c r="S965" s="523"/>
      <c r="T965" s="523"/>
      <c r="U965" s="523"/>
      <c r="V965" s="523"/>
      <c r="W965" s="523"/>
      <c r="X965" s="523"/>
      <c r="Y965" s="523"/>
      <c r="Z965" s="523"/>
    </row>
    <row r="966" spans="1:26" ht="15.75" customHeight="1">
      <c r="A966" s="523"/>
      <c r="B966" s="523"/>
      <c r="C966" s="523"/>
      <c r="D966" s="523"/>
      <c r="E966" s="523"/>
      <c r="F966" s="523"/>
      <c r="G966" s="523"/>
      <c r="H966" s="524"/>
      <c r="I966" s="523"/>
      <c r="J966" s="523"/>
      <c r="K966" s="523"/>
      <c r="L966" s="523"/>
      <c r="M966" s="523"/>
      <c r="N966" s="523"/>
      <c r="O966" s="523"/>
      <c r="P966" s="523"/>
      <c r="Q966" s="523"/>
      <c r="R966" s="523"/>
      <c r="S966" s="523"/>
      <c r="T966" s="523"/>
      <c r="U966" s="523"/>
      <c r="V966" s="523"/>
      <c r="W966" s="523"/>
      <c r="X966" s="523"/>
      <c r="Y966" s="523"/>
      <c r="Z966" s="523"/>
    </row>
    <row r="967" spans="1:26" ht="15.75" customHeight="1">
      <c r="A967" s="523"/>
      <c r="B967" s="523"/>
      <c r="C967" s="523"/>
      <c r="D967" s="523"/>
      <c r="E967" s="523"/>
      <c r="F967" s="523"/>
      <c r="G967" s="523"/>
      <c r="H967" s="524"/>
      <c r="I967" s="523"/>
      <c r="J967" s="523"/>
      <c r="K967" s="523"/>
      <c r="L967" s="523"/>
      <c r="M967" s="523"/>
      <c r="N967" s="523"/>
      <c r="O967" s="523"/>
      <c r="P967" s="523"/>
      <c r="Q967" s="523"/>
      <c r="R967" s="523"/>
      <c r="S967" s="523"/>
      <c r="T967" s="523"/>
      <c r="U967" s="523"/>
      <c r="V967" s="523"/>
      <c r="W967" s="523"/>
      <c r="X967" s="523"/>
      <c r="Y967" s="523"/>
      <c r="Z967" s="523"/>
    </row>
    <row r="968" spans="1:26" ht="15.75" customHeight="1">
      <c r="A968" s="523"/>
      <c r="B968" s="523"/>
      <c r="C968" s="523"/>
      <c r="D968" s="523"/>
      <c r="E968" s="523"/>
      <c r="F968" s="523"/>
      <c r="G968" s="523"/>
      <c r="H968" s="524"/>
      <c r="I968" s="523"/>
      <c r="J968" s="523"/>
      <c r="K968" s="523"/>
      <c r="L968" s="523"/>
      <c r="M968" s="523"/>
      <c r="N968" s="523"/>
      <c r="O968" s="523"/>
      <c r="P968" s="523"/>
      <c r="Q968" s="523"/>
      <c r="R968" s="523"/>
      <c r="S968" s="523"/>
      <c r="T968" s="523"/>
      <c r="U968" s="523"/>
      <c r="V968" s="523"/>
      <c r="W968" s="523"/>
      <c r="X968" s="523"/>
      <c r="Y968" s="523"/>
      <c r="Z968" s="523"/>
    </row>
    <row r="969" spans="1:26" ht="15.75" customHeight="1">
      <c r="A969" s="523"/>
      <c r="B969" s="523"/>
      <c r="C969" s="523"/>
      <c r="D969" s="523"/>
      <c r="E969" s="523"/>
      <c r="F969" s="523"/>
      <c r="G969" s="523"/>
      <c r="H969" s="524"/>
      <c r="I969" s="523"/>
      <c r="J969" s="523"/>
      <c r="K969" s="523"/>
      <c r="L969" s="523"/>
      <c r="M969" s="523"/>
      <c r="N969" s="523"/>
      <c r="O969" s="523"/>
      <c r="P969" s="523"/>
      <c r="Q969" s="523"/>
      <c r="R969" s="523"/>
      <c r="S969" s="523"/>
      <c r="T969" s="523"/>
      <c r="U969" s="523"/>
      <c r="V969" s="523"/>
      <c r="W969" s="523"/>
      <c r="X969" s="523"/>
      <c r="Y969" s="523"/>
      <c r="Z969" s="523"/>
    </row>
    <row r="970" spans="1:26" ht="15.75" customHeight="1">
      <c r="A970" s="523"/>
      <c r="B970" s="523"/>
      <c r="C970" s="523"/>
      <c r="D970" s="523"/>
      <c r="E970" s="523"/>
      <c r="F970" s="523"/>
      <c r="G970" s="523"/>
      <c r="H970" s="524"/>
      <c r="I970" s="523"/>
      <c r="J970" s="523"/>
      <c r="K970" s="523"/>
      <c r="L970" s="523"/>
      <c r="M970" s="523"/>
      <c r="N970" s="523"/>
      <c r="O970" s="523"/>
      <c r="P970" s="523"/>
      <c r="Q970" s="523"/>
      <c r="R970" s="523"/>
      <c r="S970" s="523"/>
      <c r="T970" s="523"/>
      <c r="U970" s="523"/>
      <c r="V970" s="523"/>
      <c r="W970" s="523"/>
      <c r="X970" s="523"/>
      <c r="Y970" s="523"/>
      <c r="Z970" s="523"/>
    </row>
    <row r="971" spans="1:26" ht="15.75" customHeight="1">
      <c r="A971" s="523"/>
      <c r="B971" s="523"/>
      <c r="C971" s="523"/>
      <c r="D971" s="523"/>
      <c r="E971" s="523"/>
      <c r="F971" s="523"/>
      <c r="G971" s="523"/>
      <c r="H971" s="524"/>
      <c r="I971" s="523"/>
      <c r="J971" s="523"/>
      <c r="K971" s="523"/>
      <c r="L971" s="523"/>
      <c r="M971" s="523"/>
      <c r="N971" s="523"/>
      <c r="O971" s="523"/>
      <c r="P971" s="523"/>
      <c r="Q971" s="523"/>
      <c r="R971" s="523"/>
      <c r="S971" s="523"/>
      <c r="T971" s="523"/>
      <c r="U971" s="523"/>
      <c r="V971" s="523"/>
      <c r="W971" s="523"/>
      <c r="X971" s="523"/>
      <c r="Y971" s="523"/>
      <c r="Z971" s="523"/>
    </row>
    <row r="972" spans="1:26" ht="15.75" customHeight="1">
      <c r="A972" s="523"/>
      <c r="B972" s="523"/>
      <c r="C972" s="523"/>
      <c r="D972" s="523"/>
      <c r="E972" s="523"/>
      <c r="F972" s="523"/>
      <c r="G972" s="523"/>
      <c r="H972" s="524"/>
      <c r="I972" s="523"/>
      <c r="J972" s="523"/>
      <c r="K972" s="523"/>
      <c r="L972" s="523"/>
      <c r="M972" s="523"/>
      <c r="N972" s="523"/>
      <c r="O972" s="523"/>
      <c r="P972" s="523"/>
      <c r="Q972" s="523"/>
      <c r="R972" s="523"/>
      <c r="S972" s="523"/>
      <c r="T972" s="523"/>
      <c r="U972" s="523"/>
      <c r="V972" s="523"/>
      <c r="W972" s="523"/>
      <c r="X972" s="523"/>
      <c r="Y972" s="523"/>
      <c r="Z972" s="523"/>
    </row>
    <row r="973" spans="1:26" ht="15.75" customHeight="1">
      <c r="A973" s="523"/>
      <c r="B973" s="523"/>
      <c r="C973" s="523"/>
      <c r="D973" s="523"/>
      <c r="E973" s="523"/>
      <c r="F973" s="523"/>
      <c r="G973" s="523"/>
      <c r="H973" s="524"/>
      <c r="I973" s="523"/>
      <c r="J973" s="523"/>
      <c r="K973" s="523"/>
      <c r="L973" s="523"/>
      <c r="M973" s="523"/>
      <c r="N973" s="523"/>
      <c r="O973" s="523"/>
      <c r="P973" s="523"/>
      <c r="Q973" s="523"/>
      <c r="R973" s="523"/>
      <c r="S973" s="523"/>
      <c r="T973" s="523"/>
      <c r="U973" s="523"/>
      <c r="V973" s="523"/>
      <c r="W973" s="523"/>
      <c r="X973" s="523"/>
      <c r="Y973" s="523"/>
      <c r="Z973" s="523"/>
    </row>
    <row r="974" spans="1:26" ht="15.75" customHeight="1">
      <c r="A974" s="523"/>
      <c r="B974" s="523"/>
      <c r="C974" s="523"/>
      <c r="D974" s="523"/>
      <c r="E974" s="523"/>
      <c r="F974" s="523"/>
      <c r="G974" s="523"/>
      <c r="H974" s="524"/>
      <c r="I974" s="523"/>
      <c r="J974" s="523"/>
      <c r="K974" s="523"/>
      <c r="L974" s="523"/>
      <c r="M974" s="523"/>
      <c r="N974" s="523"/>
      <c r="O974" s="523"/>
      <c r="P974" s="523"/>
      <c r="Q974" s="523"/>
      <c r="R974" s="523"/>
      <c r="S974" s="523"/>
      <c r="T974" s="523"/>
      <c r="U974" s="523"/>
      <c r="V974" s="523"/>
      <c r="W974" s="523"/>
      <c r="X974" s="523"/>
      <c r="Y974" s="523"/>
      <c r="Z974" s="523"/>
    </row>
    <row r="975" spans="1:26" ht="15.75" customHeight="1">
      <c r="A975" s="523"/>
      <c r="B975" s="523"/>
      <c r="C975" s="523"/>
      <c r="D975" s="523"/>
      <c r="E975" s="523"/>
      <c r="F975" s="523"/>
      <c r="G975" s="523"/>
      <c r="H975" s="524"/>
      <c r="I975" s="523"/>
      <c r="J975" s="523"/>
      <c r="K975" s="523"/>
      <c r="L975" s="523"/>
      <c r="M975" s="523"/>
      <c r="N975" s="523"/>
      <c r="O975" s="523"/>
      <c r="P975" s="523"/>
      <c r="Q975" s="523"/>
      <c r="R975" s="523"/>
      <c r="S975" s="523"/>
      <c r="T975" s="523"/>
      <c r="U975" s="523"/>
      <c r="V975" s="523"/>
      <c r="W975" s="523"/>
      <c r="X975" s="523"/>
      <c r="Y975" s="523"/>
      <c r="Z975" s="523"/>
    </row>
    <row r="976" spans="1:26" ht="15.75" customHeight="1">
      <c r="A976" s="523"/>
      <c r="B976" s="523"/>
      <c r="C976" s="523"/>
      <c r="D976" s="523"/>
      <c r="E976" s="523"/>
      <c r="F976" s="523"/>
      <c r="G976" s="523"/>
      <c r="H976" s="524"/>
      <c r="I976" s="523"/>
      <c r="J976" s="523"/>
      <c r="K976" s="523"/>
      <c r="L976" s="523"/>
      <c r="M976" s="523"/>
      <c r="N976" s="523"/>
      <c r="O976" s="523"/>
      <c r="P976" s="523"/>
      <c r="Q976" s="523"/>
      <c r="R976" s="523"/>
      <c r="S976" s="523"/>
      <c r="T976" s="523"/>
      <c r="U976" s="523"/>
      <c r="V976" s="523"/>
      <c r="W976" s="523"/>
      <c r="X976" s="523"/>
      <c r="Y976" s="523"/>
      <c r="Z976" s="523"/>
    </row>
    <row r="977" spans="1:26" ht="15.75" customHeight="1">
      <c r="A977" s="523"/>
      <c r="B977" s="523"/>
      <c r="C977" s="523"/>
      <c r="D977" s="523"/>
      <c r="E977" s="523"/>
      <c r="F977" s="523"/>
      <c r="G977" s="523"/>
      <c r="H977" s="524"/>
      <c r="I977" s="523"/>
      <c r="J977" s="523"/>
      <c r="K977" s="523"/>
      <c r="L977" s="523"/>
      <c r="M977" s="523"/>
      <c r="N977" s="523"/>
      <c r="O977" s="523"/>
      <c r="P977" s="523"/>
      <c r="Q977" s="523"/>
      <c r="R977" s="523"/>
      <c r="S977" s="523"/>
      <c r="T977" s="523"/>
      <c r="U977" s="523"/>
      <c r="V977" s="523"/>
      <c r="W977" s="523"/>
      <c r="X977" s="523"/>
      <c r="Y977" s="523"/>
      <c r="Z977" s="523"/>
    </row>
    <row r="978" spans="1:26" ht="15.75" customHeight="1">
      <c r="A978" s="523"/>
      <c r="B978" s="523"/>
      <c r="C978" s="523"/>
      <c r="D978" s="523"/>
      <c r="E978" s="523"/>
      <c r="F978" s="523"/>
      <c r="G978" s="523"/>
      <c r="H978" s="524"/>
      <c r="I978" s="523"/>
      <c r="J978" s="523"/>
      <c r="K978" s="523"/>
      <c r="L978" s="523"/>
      <c r="M978" s="523"/>
      <c r="N978" s="523"/>
      <c r="O978" s="523"/>
      <c r="P978" s="523"/>
      <c r="Q978" s="523"/>
      <c r="R978" s="523"/>
      <c r="S978" s="523"/>
      <c r="T978" s="523"/>
      <c r="U978" s="523"/>
      <c r="V978" s="523"/>
      <c r="W978" s="523"/>
      <c r="X978" s="523"/>
      <c r="Y978" s="523"/>
      <c r="Z978" s="523"/>
    </row>
    <row r="979" spans="1:26" ht="15.75" customHeight="1">
      <c r="A979" s="523"/>
      <c r="B979" s="523"/>
      <c r="C979" s="523"/>
      <c r="D979" s="523"/>
      <c r="E979" s="523"/>
      <c r="F979" s="523"/>
      <c r="G979" s="523"/>
      <c r="H979" s="524"/>
      <c r="I979" s="523"/>
      <c r="J979" s="523"/>
      <c r="K979" s="523"/>
      <c r="L979" s="523"/>
      <c r="M979" s="523"/>
      <c r="N979" s="523"/>
      <c r="O979" s="523"/>
      <c r="P979" s="523"/>
      <c r="Q979" s="523"/>
      <c r="R979" s="523"/>
      <c r="S979" s="523"/>
      <c r="T979" s="523"/>
      <c r="U979" s="523"/>
      <c r="V979" s="523"/>
      <c r="W979" s="523"/>
      <c r="X979" s="523"/>
      <c r="Y979" s="523"/>
      <c r="Z979" s="523"/>
    </row>
    <row r="980" spans="1:26" ht="15.75" customHeight="1">
      <c r="A980" s="523"/>
      <c r="B980" s="523"/>
      <c r="C980" s="523"/>
      <c r="D980" s="523"/>
      <c r="E980" s="523"/>
      <c r="F980" s="523"/>
      <c r="G980" s="523"/>
      <c r="H980" s="524"/>
      <c r="I980" s="523"/>
      <c r="J980" s="523"/>
      <c r="K980" s="523"/>
      <c r="L980" s="523"/>
      <c r="M980" s="523"/>
      <c r="N980" s="523"/>
      <c r="O980" s="523"/>
      <c r="P980" s="523"/>
      <c r="Q980" s="523"/>
      <c r="R980" s="523"/>
      <c r="S980" s="523"/>
      <c r="T980" s="523"/>
      <c r="U980" s="523"/>
      <c r="V980" s="523"/>
      <c r="W980" s="523"/>
      <c r="X980" s="523"/>
      <c r="Y980" s="523"/>
      <c r="Z980" s="523"/>
    </row>
    <row r="981" spans="1:26" ht="15.75" customHeight="1">
      <c r="A981" s="523"/>
      <c r="B981" s="523"/>
      <c r="C981" s="523"/>
      <c r="D981" s="523"/>
      <c r="E981" s="523"/>
      <c r="F981" s="523"/>
      <c r="G981" s="523"/>
      <c r="H981" s="524"/>
      <c r="I981" s="523"/>
      <c r="J981" s="523"/>
      <c r="K981" s="523"/>
      <c r="L981" s="523"/>
      <c r="M981" s="523"/>
      <c r="N981" s="523"/>
      <c r="O981" s="523"/>
      <c r="P981" s="523"/>
      <c r="Q981" s="523"/>
      <c r="R981" s="523"/>
      <c r="S981" s="523"/>
      <c r="T981" s="523"/>
      <c r="U981" s="523"/>
      <c r="V981" s="523"/>
      <c r="W981" s="523"/>
      <c r="X981" s="523"/>
      <c r="Y981" s="523"/>
      <c r="Z981" s="523"/>
    </row>
    <row r="982" spans="1:26" ht="15.75" customHeight="1">
      <c r="A982" s="523"/>
      <c r="B982" s="523"/>
      <c r="C982" s="523"/>
      <c r="D982" s="523"/>
      <c r="E982" s="523"/>
      <c r="F982" s="523"/>
      <c r="G982" s="523"/>
      <c r="H982" s="524"/>
      <c r="I982" s="523"/>
      <c r="J982" s="523"/>
      <c r="K982" s="523"/>
      <c r="L982" s="523"/>
      <c r="M982" s="523"/>
      <c r="N982" s="523"/>
      <c r="O982" s="523"/>
      <c r="P982" s="523"/>
      <c r="Q982" s="523"/>
      <c r="R982" s="523"/>
      <c r="S982" s="523"/>
      <c r="T982" s="523"/>
      <c r="U982" s="523"/>
      <c r="V982" s="523"/>
      <c r="W982" s="523"/>
      <c r="X982" s="523"/>
      <c r="Y982" s="523"/>
      <c r="Z982" s="523"/>
    </row>
    <row r="983" spans="1:26" ht="15.75" customHeight="1">
      <c r="A983" s="523"/>
      <c r="B983" s="523"/>
      <c r="C983" s="523"/>
      <c r="D983" s="523"/>
      <c r="E983" s="523"/>
      <c r="F983" s="523"/>
      <c r="G983" s="523"/>
      <c r="H983" s="524"/>
      <c r="I983" s="523"/>
      <c r="J983" s="523"/>
      <c r="K983" s="523"/>
      <c r="L983" s="523"/>
      <c r="M983" s="523"/>
      <c r="N983" s="523"/>
      <c r="O983" s="523"/>
      <c r="P983" s="523"/>
      <c r="Q983" s="523"/>
      <c r="R983" s="523"/>
      <c r="S983" s="523"/>
      <c r="T983" s="523"/>
      <c r="U983" s="523"/>
      <c r="V983" s="523"/>
      <c r="W983" s="523"/>
      <c r="X983" s="523"/>
      <c r="Y983" s="523"/>
      <c r="Z983" s="523"/>
    </row>
    <row r="984" spans="1:26" ht="15.75" customHeight="1">
      <c r="A984" s="523"/>
      <c r="B984" s="523"/>
      <c r="C984" s="523"/>
      <c r="D984" s="523"/>
      <c r="E984" s="523"/>
      <c r="F984" s="523"/>
      <c r="G984" s="523"/>
      <c r="H984" s="524"/>
      <c r="I984" s="523"/>
      <c r="J984" s="523"/>
      <c r="K984" s="523"/>
      <c r="L984" s="523"/>
      <c r="M984" s="523"/>
      <c r="N984" s="523"/>
      <c r="O984" s="523"/>
      <c r="P984" s="523"/>
      <c r="Q984" s="523"/>
      <c r="R984" s="523"/>
      <c r="S984" s="523"/>
      <c r="T984" s="523"/>
      <c r="U984" s="523"/>
      <c r="V984" s="523"/>
      <c r="W984" s="523"/>
      <c r="X984" s="523"/>
      <c r="Y984" s="523"/>
      <c r="Z984" s="523"/>
    </row>
    <row r="985" spans="1:26" ht="15.75" customHeight="1">
      <c r="A985" s="523"/>
      <c r="B985" s="523"/>
      <c r="C985" s="523"/>
      <c r="D985" s="523"/>
      <c r="E985" s="523"/>
      <c r="F985" s="523"/>
      <c r="G985" s="523"/>
      <c r="H985" s="524"/>
      <c r="I985" s="523"/>
      <c r="J985" s="523"/>
      <c r="K985" s="523"/>
      <c r="L985" s="523"/>
      <c r="M985" s="523"/>
      <c r="N985" s="523"/>
      <c r="O985" s="523"/>
      <c r="P985" s="523"/>
      <c r="Q985" s="523"/>
      <c r="R985" s="523"/>
      <c r="S985" s="523"/>
      <c r="T985" s="523"/>
      <c r="U985" s="523"/>
      <c r="V985" s="523"/>
      <c r="W985" s="523"/>
      <c r="X985" s="523"/>
      <c r="Y985" s="523"/>
      <c r="Z985" s="523"/>
    </row>
    <row r="986" spans="1:26" ht="15.75" customHeight="1">
      <c r="A986" s="523"/>
      <c r="B986" s="523"/>
      <c r="C986" s="523"/>
      <c r="D986" s="523"/>
      <c r="E986" s="523"/>
      <c r="F986" s="523"/>
      <c r="G986" s="523"/>
      <c r="H986" s="524"/>
      <c r="I986" s="523"/>
      <c r="J986" s="523"/>
      <c r="K986" s="523"/>
      <c r="L986" s="523"/>
      <c r="M986" s="523"/>
      <c r="N986" s="523"/>
      <c r="O986" s="523"/>
      <c r="P986" s="523"/>
      <c r="Q986" s="523"/>
      <c r="R986" s="523"/>
      <c r="S986" s="523"/>
      <c r="T986" s="523"/>
      <c r="U986" s="523"/>
      <c r="V986" s="523"/>
      <c r="W986" s="523"/>
      <c r="X986" s="523"/>
      <c r="Y986" s="523"/>
      <c r="Z986" s="523"/>
    </row>
    <row r="987" spans="1:26" ht="15.75" customHeight="1">
      <c r="A987" s="523"/>
      <c r="B987" s="523"/>
      <c r="C987" s="523"/>
      <c r="D987" s="523"/>
      <c r="E987" s="523"/>
      <c r="F987" s="523"/>
      <c r="G987" s="523"/>
      <c r="H987" s="524"/>
      <c r="I987" s="523"/>
      <c r="J987" s="523"/>
      <c r="K987" s="523"/>
      <c r="L987" s="523"/>
      <c r="M987" s="523"/>
      <c r="N987" s="523"/>
      <c r="O987" s="523"/>
      <c r="P987" s="523"/>
      <c r="Q987" s="523"/>
      <c r="R987" s="523"/>
      <c r="S987" s="523"/>
      <c r="T987" s="523"/>
      <c r="U987" s="523"/>
      <c r="V987" s="523"/>
      <c r="W987" s="523"/>
      <c r="X987" s="523"/>
      <c r="Y987" s="523"/>
      <c r="Z987" s="523"/>
    </row>
    <row r="988" spans="1:26" ht="15.75" customHeight="1">
      <c r="A988" s="523"/>
      <c r="B988" s="523"/>
      <c r="C988" s="523"/>
      <c r="D988" s="523"/>
      <c r="E988" s="523"/>
      <c r="F988" s="523"/>
      <c r="G988" s="523"/>
      <c r="H988" s="524"/>
      <c r="I988" s="523"/>
      <c r="J988" s="523"/>
      <c r="K988" s="523"/>
      <c r="L988" s="523"/>
      <c r="M988" s="523"/>
      <c r="N988" s="523"/>
      <c r="O988" s="523"/>
      <c r="P988" s="523"/>
      <c r="Q988" s="523"/>
      <c r="R988" s="523"/>
      <c r="S988" s="523"/>
      <c r="T988" s="523"/>
      <c r="U988" s="523"/>
      <c r="V988" s="523"/>
      <c r="W988" s="523"/>
      <c r="X988" s="523"/>
      <c r="Y988" s="523"/>
      <c r="Z988" s="523"/>
    </row>
    <row r="989" spans="1:26" ht="15.75" customHeight="1">
      <c r="A989" s="523"/>
      <c r="B989" s="523"/>
      <c r="C989" s="523"/>
      <c r="D989" s="523"/>
      <c r="E989" s="523"/>
      <c r="F989" s="523"/>
      <c r="G989" s="523"/>
      <c r="H989" s="524"/>
      <c r="I989" s="523"/>
      <c r="J989" s="523"/>
      <c r="K989" s="523"/>
      <c r="L989" s="523"/>
      <c r="M989" s="523"/>
      <c r="N989" s="523"/>
      <c r="O989" s="523"/>
      <c r="P989" s="523"/>
      <c r="Q989" s="523"/>
      <c r="R989" s="523"/>
      <c r="S989" s="523"/>
      <c r="T989" s="523"/>
      <c r="U989" s="523"/>
      <c r="V989" s="523"/>
      <c r="W989" s="523"/>
      <c r="X989" s="523"/>
      <c r="Y989" s="523"/>
      <c r="Z989" s="523"/>
    </row>
    <row r="990" spans="1:26" ht="15.75" customHeight="1">
      <c r="A990" s="523"/>
      <c r="B990" s="523"/>
      <c r="C990" s="523"/>
      <c r="D990" s="523"/>
      <c r="E990" s="523"/>
      <c r="F990" s="523"/>
      <c r="G990" s="523"/>
      <c r="H990" s="524"/>
      <c r="I990" s="523"/>
      <c r="J990" s="523"/>
      <c r="K990" s="523"/>
      <c r="L990" s="523"/>
      <c r="M990" s="523"/>
      <c r="N990" s="523"/>
      <c r="O990" s="523"/>
      <c r="P990" s="523"/>
      <c r="Q990" s="523"/>
      <c r="R990" s="523"/>
      <c r="S990" s="523"/>
      <c r="T990" s="523"/>
      <c r="U990" s="523"/>
      <c r="V990" s="523"/>
      <c r="W990" s="523"/>
      <c r="X990" s="523"/>
      <c r="Y990" s="523"/>
      <c r="Z990" s="523"/>
    </row>
    <row r="991" spans="1:26" ht="15.75" customHeight="1">
      <c r="A991" s="523"/>
      <c r="B991" s="523"/>
      <c r="C991" s="523"/>
      <c r="D991" s="523"/>
      <c r="E991" s="523"/>
      <c r="F991" s="523"/>
      <c r="G991" s="523"/>
      <c r="H991" s="524"/>
      <c r="I991" s="523"/>
      <c r="J991" s="523"/>
      <c r="K991" s="523"/>
      <c r="L991" s="523"/>
      <c r="M991" s="523"/>
      <c r="N991" s="523"/>
      <c r="O991" s="523"/>
      <c r="P991" s="523"/>
      <c r="Q991" s="523"/>
      <c r="R991" s="523"/>
      <c r="S991" s="523"/>
      <c r="T991" s="523"/>
      <c r="U991" s="523"/>
      <c r="V991" s="523"/>
      <c r="W991" s="523"/>
      <c r="X991" s="523"/>
      <c r="Y991" s="523"/>
      <c r="Z991" s="523"/>
    </row>
    <row r="992" spans="1:26" ht="15.75" customHeight="1">
      <c r="A992" s="523"/>
      <c r="B992" s="523"/>
      <c r="C992" s="523"/>
      <c r="D992" s="523"/>
      <c r="E992" s="523"/>
      <c r="F992" s="523"/>
      <c r="G992" s="523"/>
      <c r="H992" s="524"/>
      <c r="I992" s="523"/>
      <c r="J992" s="523"/>
      <c r="K992" s="523"/>
      <c r="L992" s="523"/>
      <c r="M992" s="523"/>
      <c r="N992" s="523"/>
      <c r="O992" s="523"/>
      <c r="P992" s="523"/>
      <c r="Q992" s="523"/>
      <c r="R992" s="523"/>
      <c r="S992" s="523"/>
      <c r="T992" s="523"/>
      <c r="U992" s="523"/>
      <c r="V992" s="523"/>
      <c r="W992" s="523"/>
      <c r="X992" s="523"/>
      <c r="Y992" s="523"/>
      <c r="Z992" s="523"/>
    </row>
    <row r="993" spans="1:26" ht="15.75" customHeight="1">
      <c r="A993" s="523"/>
      <c r="B993" s="523"/>
      <c r="C993" s="523"/>
      <c r="D993" s="523"/>
      <c r="E993" s="523"/>
      <c r="F993" s="523"/>
      <c r="G993" s="523"/>
      <c r="H993" s="524"/>
      <c r="I993" s="523"/>
      <c r="J993" s="523"/>
      <c r="K993" s="523"/>
      <c r="L993" s="523"/>
      <c r="M993" s="523"/>
      <c r="N993" s="523"/>
      <c r="O993" s="523"/>
      <c r="P993" s="523"/>
      <c r="Q993" s="523"/>
      <c r="R993" s="523"/>
      <c r="S993" s="523"/>
      <c r="T993" s="523"/>
      <c r="U993" s="523"/>
      <c r="V993" s="523"/>
      <c r="W993" s="523"/>
      <c r="X993" s="523"/>
      <c r="Y993" s="523"/>
      <c r="Z993" s="523"/>
    </row>
    <row r="994" spans="1:26" ht="15.75" customHeight="1">
      <c r="A994" s="523"/>
      <c r="B994" s="523"/>
      <c r="C994" s="523"/>
      <c r="D994" s="523"/>
      <c r="E994" s="523"/>
      <c r="F994" s="523"/>
      <c r="G994" s="523"/>
      <c r="H994" s="524"/>
      <c r="I994" s="523"/>
      <c r="J994" s="523"/>
      <c r="K994" s="523"/>
      <c r="L994" s="523"/>
      <c r="M994" s="523"/>
      <c r="N994" s="523"/>
      <c r="O994" s="523"/>
      <c r="P994" s="523"/>
      <c r="Q994" s="523"/>
      <c r="R994" s="523"/>
      <c r="S994" s="523"/>
      <c r="T994" s="523"/>
      <c r="U994" s="523"/>
      <c r="V994" s="523"/>
      <c r="W994" s="523"/>
      <c r="X994" s="523"/>
      <c r="Y994" s="523"/>
      <c r="Z994" s="523"/>
    </row>
    <row r="995" spans="1:26" ht="15.75" customHeight="1">
      <c r="A995" s="523"/>
      <c r="B995" s="523"/>
      <c r="C995" s="523"/>
      <c r="D995" s="523"/>
      <c r="E995" s="523"/>
      <c r="F995" s="523"/>
      <c r="G995" s="523"/>
      <c r="H995" s="524"/>
      <c r="I995" s="523"/>
      <c r="J995" s="523"/>
      <c r="K995" s="523"/>
      <c r="L995" s="523"/>
      <c r="M995" s="523"/>
      <c r="N995" s="523"/>
      <c r="O995" s="523"/>
      <c r="P995" s="523"/>
      <c r="Q995" s="523"/>
      <c r="R995" s="523"/>
      <c r="S995" s="523"/>
      <c r="T995" s="523"/>
      <c r="U995" s="523"/>
      <c r="V995" s="523"/>
      <c r="W995" s="523"/>
      <c r="X995" s="523"/>
      <c r="Y995" s="523"/>
      <c r="Z995" s="523"/>
    </row>
    <row r="996" spans="1:26" ht="15.75" customHeight="1">
      <c r="A996" s="523"/>
      <c r="B996" s="523"/>
      <c r="C996" s="523"/>
      <c r="D996" s="523"/>
      <c r="E996" s="523"/>
      <c r="F996" s="523"/>
      <c r="G996" s="523"/>
      <c r="H996" s="524"/>
      <c r="I996" s="523"/>
      <c r="J996" s="523"/>
      <c r="K996" s="523"/>
      <c r="L996" s="523"/>
      <c r="M996" s="523"/>
      <c r="N996" s="523"/>
      <c r="O996" s="523"/>
      <c r="P996" s="523"/>
      <c r="Q996" s="523"/>
      <c r="R996" s="523"/>
      <c r="S996" s="523"/>
      <c r="T996" s="523"/>
      <c r="U996" s="523"/>
      <c r="V996" s="523"/>
      <c r="W996" s="523"/>
      <c r="X996" s="523"/>
      <c r="Y996" s="523"/>
      <c r="Z996" s="523"/>
    </row>
    <row r="997" spans="1:26" ht="15.75" customHeight="1">
      <c r="A997" s="523"/>
      <c r="B997" s="523"/>
      <c r="C997" s="523"/>
      <c r="D997" s="523"/>
      <c r="E997" s="523"/>
      <c r="F997" s="523"/>
      <c r="G997" s="523"/>
      <c r="H997" s="524"/>
      <c r="I997" s="523"/>
      <c r="J997" s="523"/>
      <c r="K997" s="523"/>
      <c r="L997" s="523"/>
      <c r="M997" s="523"/>
      <c r="N997" s="523"/>
      <c r="O997" s="523"/>
      <c r="P997" s="523"/>
      <c r="Q997" s="523"/>
      <c r="R997" s="523"/>
      <c r="S997" s="523"/>
      <c r="T997" s="523"/>
      <c r="U997" s="523"/>
      <c r="V997" s="523"/>
      <c r="W997" s="523"/>
      <c r="X997" s="523"/>
      <c r="Y997" s="523"/>
      <c r="Z997" s="523"/>
    </row>
    <row r="998" spans="1:26" ht="15.75" customHeight="1">
      <c r="A998" s="523"/>
      <c r="B998" s="523"/>
      <c r="C998" s="523"/>
      <c r="D998" s="523"/>
      <c r="E998" s="523"/>
      <c r="F998" s="523"/>
      <c r="G998" s="523"/>
      <c r="H998" s="524"/>
      <c r="I998" s="523"/>
      <c r="J998" s="523"/>
      <c r="K998" s="523"/>
      <c r="L998" s="523"/>
      <c r="M998" s="523"/>
      <c r="N998" s="523"/>
      <c r="O998" s="523"/>
      <c r="P998" s="523"/>
      <c r="Q998" s="523"/>
      <c r="R998" s="523"/>
      <c r="S998" s="523"/>
      <c r="T998" s="523"/>
      <c r="U998" s="523"/>
      <c r="V998" s="523"/>
      <c r="W998" s="523"/>
      <c r="X998" s="523"/>
      <c r="Y998" s="523"/>
      <c r="Z998" s="523"/>
    </row>
    <row r="999" spans="1:26" ht="15.75" customHeight="1">
      <c r="A999" s="523"/>
      <c r="B999" s="523"/>
      <c r="C999" s="523"/>
      <c r="D999" s="523"/>
      <c r="E999" s="523"/>
      <c r="F999" s="523"/>
      <c r="G999" s="523"/>
      <c r="H999" s="524"/>
      <c r="I999" s="523"/>
      <c r="J999" s="523"/>
      <c r="K999" s="523"/>
      <c r="L999" s="523"/>
      <c r="M999" s="523"/>
      <c r="N999" s="523"/>
      <c r="O999" s="523"/>
      <c r="P999" s="523"/>
      <c r="Q999" s="523"/>
      <c r="R999" s="523"/>
      <c r="S999" s="523"/>
      <c r="T999" s="523"/>
      <c r="U999" s="523"/>
      <c r="V999" s="523"/>
      <c r="W999" s="523"/>
      <c r="X999" s="523"/>
      <c r="Y999" s="523"/>
      <c r="Z999" s="523"/>
    </row>
    <row r="1000" spans="1:26" ht="15.75" customHeight="1">
      <c r="A1000" s="523"/>
      <c r="B1000" s="523"/>
      <c r="C1000" s="523"/>
      <c r="D1000" s="523"/>
      <c r="E1000" s="523"/>
      <c r="F1000" s="523"/>
      <c r="G1000" s="523"/>
      <c r="H1000" s="524"/>
      <c r="I1000" s="523"/>
      <c r="J1000" s="523"/>
      <c r="K1000" s="523"/>
      <c r="L1000" s="523"/>
      <c r="M1000" s="523"/>
      <c r="N1000" s="523"/>
      <c r="O1000" s="523"/>
      <c r="P1000" s="523"/>
      <c r="Q1000" s="523"/>
      <c r="R1000" s="523"/>
      <c r="S1000" s="523"/>
      <c r="T1000" s="523"/>
      <c r="U1000" s="523"/>
      <c r="V1000" s="523"/>
      <c r="W1000" s="523"/>
      <c r="X1000" s="523"/>
      <c r="Y1000" s="523"/>
      <c r="Z1000" s="523"/>
    </row>
  </sheetData>
  <mergeCells count="32">
    <mergeCell ref="A4:I4"/>
    <mergeCell ref="A5:I6"/>
    <mergeCell ref="A7:H7"/>
    <mergeCell ref="B10:G10"/>
    <mergeCell ref="B11:G11"/>
    <mergeCell ref="C13:G13"/>
    <mergeCell ref="C14:G14"/>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37:G37"/>
    <mergeCell ref="C38:G38"/>
    <mergeCell ref="C39:G39"/>
    <mergeCell ref="C50:G50"/>
    <mergeCell ref="C29:G29"/>
    <mergeCell ref="C30:G30"/>
    <mergeCell ref="C31:G31"/>
    <mergeCell ref="C32:G32"/>
    <mergeCell ref="C33:G33"/>
    <mergeCell ref="C34:G34"/>
    <mergeCell ref="C35:G35"/>
  </mergeCells>
  <pageMargins left="0" right="0" top="0.74803149606299213" bottom="0.74803149606299213"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000"/>
  <sheetViews>
    <sheetView workbookViewId="0"/>
  </sheetViews>
  <sheetFormatPr defaultColWidth="14.42578125" defaultRowHeight="15" customHeight="1"/>
  <cols>
    <col min="1" max="1" width="42.85546875" customWidth="1"/>
    <col min="2" max="2" width="12.42578125" customWidth="1"/>
    <col min="3" max="3" width="9.140625" customWidth="1"/>
    <col min="4" max="4" width="10.5703125" customWidth="1"/>
    <col min="5" max="5" width="12.28515625" customWidth="1"/>
    <col min="6" max="6" width="12.5703125" customWidth="1"/>
    <col min="7" max="10" width="11.42578125" customWidth="1"/>
    <col min="11" max="11" width="15.140625" customWidth="1"/>
    <col min="12" max="13" width="9.140625" customWidth="1"/>
    <col min="14" max="26" width="10.7109375" customWidth="1"/>
  </cols>
  <sheetData>
    <row r="1" spans="1:11">
      <c r="A1" s="556" t="s">
        <v>449</v>
      </c>
      <c r="B1" s="1050" t="s">
        <v>1221</v>
      </c>
      <c r="C1" s="1051"/>
      <c r="D1" s="1051"/>
      <c r="E1" s="1051"/>
      <c r="F1" s="1051"/>
      <c r="G1" s="557"/>
      <c r="H1" s="557"/>
      <c r="I1" s="557"/>
      <c r="J1" s="557"/>
      <c r="K1" s="558"/>
    </row>
    <row r="2" spans="1:11">
      <c r="A2" s="304"/>
      <c r="B2" s="1052" t="s">
        <v>1222</v>
      </c>
      <c r="C2" s="935"/>
      <c r="D2" s="935"/>
      <c r="E2" s="935"/>
      <c r="F2" s="935"/>
      <c r="G2" s="935"/>
      <c r="H2" s="935"/>
      <c r="I2" s="935"/>
      <c r="J2" s="559"/>
      <c r="K2" s="560"/>
    </row>
    <row r="3" spans="1:11">
      <c r="A3" s="304"/>
      <c r="B3" s="561"/>
      <c r="C3" s="562"/>
      <c r="D3" s="562"/>
      <c r="E3" s="562"/>
      <c r="F3" s="562"/>
      <c r="G3" s="563"/>
      <c r="H3" s="564"/>
      <c r="I3" s="564"/>
      <c r="J3" s="564"/>
      <c r="K3" s="565"/>
    </row>
    <row r="4" spans="1:11" ht="45" customHeight="1">
      <c r="A4" s="566" t="s">
        <v>1223</v>
      </c>
      <c r="B4" s="1053" t="s">
        <v>1224</v>
      </c>
      <c r="C4" s="1054"/>
      <c r="D4" s="1054"/>
      <c r="E4" s="1055"/>
      <c r="F4" s="567" t="s">
        <v>1225</v>
      </c>
      <c r="G4" s="1056" t="s">
        <v>1226</v>
      </c>
      <c r="H4" s="1054"/>
      <c r="I4" s="1054"/>
      <c r="J4" s="1054"/>
      <c r="K4" s="1055"/>
    </row>
    <row r="5" spans="1:11" ht="61.5" customHeight="1">
      <c r="A5" s="568" t="s">
        <v>1227</v>
      </c>
      <c r="B5" s="569" t="s">
        <v>735</v>
      </c>
      <c r="C5" s="570" t="s">
        <v>1228</v>
      </c>
      <c r="D5" s="571" t="s">
        <v>734</v>
      </c>
      <c r="E5" s="572" t="s">
        <v>1229</v>
      </c>
      <c r="F5" s="573" t="s">
        <v>1230</v>
      </c>
      <c r="G5" s="570" t="s">
        <v>1228</v>
      </c>
      <c r="H5" s="571" t="s">
        <v>734</v>
      </c>
      <c r="I5" s="572" t="s">
        <v>1231</v>
      </c>
      <c r="J5" s="574" t="s">
        <v>1232</v>
      </c>
      <c r="K5" s="575" t="s">
        <v>1233</v>
      </c>
    </row>
    <row r="6" spans="1:11">
      <c r="A6" s="576"/>
      <c r="B6" s="577"/>
      <c r="C6" s="577" t="s">
        <v>1234</v>
      </c>
      <c r="D6" s="577" t="s">
        <v>1235</v>
      </c>
      <c r="E6" s="578" t="s">
        <v>1236</v>
      </c>
      <c r="F6" s="579"/>
      <c r="G6" s="577" t="s">
        <v>1234</v>
      </c>
      <c r="H6" s="577" t="s">
        <v>1235</v>
      </c>
      <c r="I6" s="578" t="s">
        <v>1236</v>
      </c>
      <c r="J6" s="580" t="s">
        <v>1237</v>
      </c>
      <c r="K6" s="581" t="s">
        <v>1238</v>
      </c>
    </row>
    <row r="7" spans="1:11" ht="13.5" customHeight="1">
      <c r="A7" s="582" t="s">
        <v>743</v>
      </c>
      <c r="B7" s="445"/>
      <c r="C7" s="286"/>
      <c r="D7" s="286"/>
      <c r="E7" s="583"/>
      <c r="F7" s="584"/>
      <c r="G7" s="585"/>
      <c r="H7" s="586"/>
      <c r="I7" s="586"/>
      <c r="J7" s="587"/>
      <c r="K7" s="588"/>
    </row>
    <row r="8" spans="1:11" ht="25.5" customHeight="1">
      <c r="A8" s="589" t="s">
        <v>1239</v>
      </c>
      <c r="B8" s="590" t="s">
        <v>745</v>
      </c>
      <c r="C8" s="591">
        <f>C9+C21</f>
        <v>365</v>
      </c>
      <c r="D8" s="591">
        <v>2999</v>
      </c>
      <c r="E8" s="592">
        <f>E9+E21</f>
        <v>1051400</v>
      </c>
      <c r="F8" s="593"/>
      <c r="G8" s="594"/>
      <c r="H8" s="595"/>
      <c r="I8" s="596" t="e">
        <f t="shared" ref="I8:J8" si="0">#REF!</f>
        <v>#REF!</v>
      </c>
      <c r="J8" s="597" t="e">
        <f t="shared" si="0"/>
        <v>#REF!</v>
      </c>
      <c r="K8" s="598" t="e">
        <f t="shared" ref="K8:K19" si="1">I8+J8</f>
        <v>#REF!</v>
      </c>
    </row>
    <row r="9" spans="1:11" ht="13.5" customHeight="1">
      <c r="A9" s="589" t="s">
        <v>1107</v>
      </c>
      <c r="B9" s="590" t="s">
        <v>745</v>
      </c>
      <c r="C9" s="591">
        <f>SUM(C10:C19)</f>
        <v>239</v>
      </c>
      <c r="D9" s="591">
        <f>E9/C9</f>
        <v>2914.2259414225941</v>
      </c>
      <c r="E9" s="592">
        <f>SUM(E10:E19)</f>
        <v>696500</v>
      </c>
      <c r="F9" s="593"/>
      <c r="G9" s="594"/>
      <c r="H9" s="595"/>
      <c r="I9" s="596" t="e">
        <f t="shared" ref="I9:J9" si="2">#REF!</f>
        <v>#REF!</v>
      </c>
      <c r="J9" s="597" t="e">
        <f t="shared" si="2"/>
        <v>#REF!</v>
      </c>
      <c r="K9" s="598" t="e">
        <f t="shared" si="1"/>
        <v>#REF!</v>
      </c>
    </row>
    <row r="10" spans="1:11" ht="14.25" customHeight="1">
      <c r="A10" s="589" t="s">
        <v>1108</v>
      </c>
      <c r="B10" s="590" t="s">
        <v>745</v>
      </c>
      <c r="C10" s="591">
        <v>36</v>
      </c>
      <c r="D10" s="591">
        <v>3500</v>
      </c>
      <c r="E10" s="599">
        <f t="shared" ref="E10:E19" si="3">C10*D10</f>
        <v>126000</v>
      </c>
      <c r="F10" s="584"/>
      <c r="G10" s="600">
        <v>0</v>
      </c>
      <c r="H10" s="595">
        <v>2500</v>
      </c>
      <c r="I10" s="595">
        <f t="shared" ref="I10:I18" si="4">G10*H10</f>
        <v>0</v>
      </c>
      <c r="J10" s="601" t="e">
        <f t="shared" ref="J10:J18" si="5">#REF!</f>
        <v>#REF!</v>
      </c>
      <c r="K10" s="602" t="e">
        <f t="shared" si="1"/>
        <v>#REF!</v>
      </c>
    </row>
    <row r="11" spans="1:11" ht="13.5" customHeight="1">
      <c r="A11" s="589" t="s">
        <v>1109</v>
      </c>
      <c r="B11" s="590" t="s">
        <v>745</v>
      </c>
      <c r="C11" s="591">
        <v>36</v>
      </c>
      <c r="D11" s="591">
        <v>3500</v>
      </c>
      <c r="E11" s="599">
        <f t="shared" si="3"/>
        <v>126000</v>
      </c>
      <c r="F11" s="584"/>
      <c r="G11" s="600">
        <v>3</v>
      </c>
      <c r="H11" s="595">
        <v>3500</v>
      </c>
      <c r="I11" s="595">
        <f t="shared" si="4"/>
        <v>10500</v>
      </c>
      <c r="J11" s="601" t="e">
        <f t="shared" si="5"/>
        <v>#REF!</v>
      </c>
      <c r="K11" s="602" t="e">
        <f t="shared" si="1"/>
        <v>#REF!</v>
      </c>
    </row>
    <row r="12" spans="1:11" ht="13.5" customHeight="1">
      <c r="A12" s="589" t="s">
        <v>1110</v>
      </c>
      <c r="B12" s="590" t="s">
        <v>745</v>
      </c>
      <c r="C12" s="591">
        <v>36</v>
      </c>
      <c r="D12" s="591">
        <v>2750</v>
      </c>
      <c r="E12" s="599">
        <f t="shared" si="3"/>
        <v>99000</v>
      </c>
      <c r="F12" s="584"/>
      <c r="G12" s="600">
        <v>3</v>
      </c>
      <c r="H12" s="595">
        <v>2750</v>
      </c>
      <c r="I12" s="595">
        <f t="shared" si="4"/>
        <v>8250</v>
      </c>
      <c r="J12" s="601" t="e">
        <f t="shared" si="5"/>
        <v>#REF!</v>
      </c>
      <c r="K12" s="602" t="e">
        <f t="shared" si="1"/>
        <v>#REF!</v>
      </c>
    </row>
    <row r="13" spans="1:11" ht="16.5" customHeight="1">
      <c r="A13" s="589" t="s">
        <v>1111</v>
      </c>
      <c r="B13" s="590" t="s">
        <v>745</v>
      </c>
      <c r="C13" s="591">
        <v>36</v>
      </c>
      <c r="D13" s="591">
        <v>3000</v>
      </c>
      <c r="E13" s="599">
        <f t="shared" si="3"/>
        <v>108000</v>
      </c>
      <c r="F13" s="584"/>
      <c r="G13" s="600">
        <v>0</v>
      </c>
      <c r="H13" s="595">
        <v>3000</v>
      </c>
      <c r="I13" s="595">
        <f t="shared" si="4"/>
        <v>0</v>
      </c>
      <c r="J13" s="601" t="e">
        <f t="shared" si="5"/>
        <v>#REF!</v>
      </c>
      <c r="K13" s="602" t="e">
        <f t="shared" si="1"/>
        <v>#REF!</v>
      </c>
    </row>
    <row r="14" spans="1:11" ht="15.75" customHeight="1">
      <c r="A14" s="589" t="s">
        <v>1112</v>
      </c>
      <c r="B14" s="590" t="s">
        <v>745</v>
      </c>
      <c r="C14" s="591">
        <v>12</v>
      </c>
      <c r="D14" s="591">
        <v>2500</v>
      </c>
      <c r="E14" s="599">
        <f t="shared" si="3"/>
        <v>30000</v>
      </c>
      <c r="F14" s="584"/>
      <c r="G14" s="600">
        <v>0</v>
      </c>
      <c r="H14" s="595">
        <v>2500</v>
      </c>
      <c r="I14" s="595">
        <f t="shared" si="4"/>
        <v>0</v>
      </c>
      <c r="J14" s="601" t="e">
        <f t="shared" si="5"/>
        <v>#REF!</v>
      </c>
      <c r="K14" s="602" t="e">
        <f t="shared" si="1"/>
        <v>#REF!</v>
      </c>
    </row>
    <row r="15" spans="1:11" ht="16.5" customHeight="1">
      <c r="A15" s="589" t="s">
        <v>1113</v>
      </c>
      <c r="B15" s="590" t="s">
        <v>745</v>
      </c>
      <c r="C15" s="591">
        <v>12</v>
      </c>
      <c r="D15" s="591">
        <v>2500</v>
      </c>
      <c r="E15" s="599">
        <f t="shared" si="3"/>
        <v>30000</v>
      </c>
      <c r="F15" s="584"/>
      <c r="G15" s="600">
        <v>0</v>
      </c>
      <c r="H15" s="595">
        <v>2500</v>
      </c>
      <c r="I15" s="595">
        <f t="shared" si="4"/>
        <v>0</v>
      </c>
      <c r="J15" s="601" t="e">
        <f t="shared" si="5"/>
        <v>#REF!</v>
      </c>
      <c r="K15" s="602" t="e">
        <f t="shared" si="1"/>
        <v>#REF!</v>
      </c>
    </row>
    <row r="16" spans="1:11" ht="16.5" customHeight="1">
      <c r="A16" s="589" t="s">
        <v>1114</v>
      </c>
      <c r="B16" s="590" t="s">
        <v>745</v>
      </c>
      <c r="C16" s="591">
        <v>9</v>
      </c>
      <c r="D16" s="591">
        <v>2500</v>
      </c>
      <c r="E16" s="599">
        <f t="shared" si="3"/>
        <v>22500</v>
      </c>
      <c r="F16" s="584"/>
      <c r="G16" s="600">
        <v>0</v>
      </c>
      <c r="H16" s="595">
        <v>2500</v>
      </c>
      <c r="I16" s="595">
        <f t="shared" si="4"/>
        <v>0</v>
      </c>
      <c r="J16" s="601" t="e">
        <f t="shared" si="5"/>
        <v>#REF!</v>
      </c>
      <c r="K16" s="602" t="e">
        <f t="shared" si="1"/>
        <v>#REF!</v>
      </c>
    </row>
    <row r="17" spans="1:13" ht="16.5" customHeight="1">
      <c r="A17" s="589" t="s">
        <v>1115</v>
      </c>
      <c r="B17" s="590" t="s">
        <v>745</v>
      </c>
      <c r="C17" s="591">
        <v>9</v>
      </c>
      <c r="D17" s="591">
        <v>2500</v>
      </c>
      <c r="E17" s="599">
        <f t="shared" si="3"/>
        <v>22500</v>
      </c>
      <c r="F17" s="584"/>
      <c r="G17" s="600">
        <v>0</v>
      </c>
      <c r="H17" s="595">
        <v>2500</v>
      </c>
      <c r="I17" s="595">
        <f t="shared" si="4"/>
        <v>0</v>
      </c>
      <c r="J17" s="601" t="e">
        <f t="shared" si="5"/>
        <v>#REF!</v>
      </c>
      <c r="K17" s="602" t="e">
        <f t="shared" si="1"/>
        <v>#REF!</v>
      </c>
    </row>
    <row r="18" spans="1:13" ht="12.75" customHeight="1">
      <c r="A18" s="589" t="s">
        <v>1116</v>
      </c>
      <c r="B18" s="590" t="s">
        <v>745</v>
      </c>
      <c r="C18" s="591">
        <v>9</v>
      </c>
      <c r="D18" s="591">
        <v>2500</v>
      </c>
      <c r="E18" s="599">
        <f t="shared" si="3"/>
        <v>22500</v>
      </c>
      <c r="F18" s="584"/>
      <c r="G18" s="600">
        <v>0</v>
      </c>
      <c r="H18" s="595">
        <v>2500</v>
      </c>
      <c r="I18" s="595">
        <f t="shared" si="4"/>
        <v>0</v>
      </c>
      <c r="J18" s="601" t="e">
        <f t="shared" si="5"/>
        <v>#REF!</v>
      </c>
      <c r="K18" s="602" t="e">
        <f t="shared" si="1"/>
        <v>#REF!</v>
      </c>
    </row>
    <row r="19" spans="1:13" ht="15.75" customHeight="1">
      <c r="A19" s="589" t="s">
        <v>1240</v>
      </c>
      <c r="B19" s="590" t="s">
        <v>745</v>
      </c>
      <c r="C19" s="591">
        <v>44</v>
      </c>
      <c r="D19" s="591">
        <v>2500</v>
      </c>
      <c r="E19" s="599">
        <f t="shared" si="3"/>
        <v>110000</v>
      </c>
      <c r="F19" s="584"/>
      <c r="G19" s="600">
        <f>6.7857</f>
        <v>6.7857000000000003</v>
      </c>
      <c r="H19" s="595">
        <v>2500</v>
      </c>
      <c r="I19" s="595" t="e">
        <f t="shared" ref="I19:J19" si="6">#REF!</f>
        <v>#REF!</v>
      </c>
      <c r="J19" s="601" t="e">
        <f t="shared" si="6"/>
        <v>#REF!</v>
      </c>
      <c r="K19" s="602" t="e">
        <f t="shared" si="1"/>
        <v>#REF!</v>
      </c>
      <c r="L19" s="185"/>
      <c r="M19" s="185"/>
    </row>
    <row r="20" spans="1:13">
      <c r="A20" s="276"/>
      <c r="B20" s="603"/>
      <c r="C20" s="604"/>
      <c r="D20" s="604"/>
      <c r="E20" s="604"/>
      <c r="F20" s="584"/>
      <c r="G20" s="594"/>
      <c r="H20" s="595"/>
      <c r="I20" s="595"/>
      <c r="J20" s="601"/>
      <c r="K20" s="605"/>
    </row>
    <row r="21" spans="1:13" ht="13.5" customHeight="1">
      <c r="A21" s="589" t="s">
        <v>1118</v>
      </c>
      <c r="B21" s="590" t="s">
        <v>745</v>
      </c>
      <c r="C21" s="591">
        <f>SUM(C22:C25)</f>
        <v>126</v>
      </c>
      <c r="D21" s="591">
        <f>E21/C21</f>
        <v>2816.6666666666665</v>
      </c>
      <c r="E21" s="592">
        <f>SUM(E22:E25)</f>
        <v>354900</v>
      </c>
      <c r="F21" s="606"/>
      <c r="G21" s="594"/>
      <c r="H21" s="595"/>
      <c r="I21" s="596" t="e">
        <f t="shared" ref="I21:J21" si="7">#REF!</f>
        <v>#REF!</v>
      </c>
      <c r="J21" s="597" t="e">
        <f t="shared" si="7"/>
        <v>#REF!</v>
      </c>
      <c r="K21" s="598" t="e">
        <f t="shared" ref="K21:K25" si="8">I21+J21</f>
        <v>#REF!</v>
      </c>
    </row>
    <row r="22" spans="1:13" ht="13.5" customHeight="1">
      <c r="A22" s="589" t="s">
        <v>1119</v>
      </c>
      <c r="B22" s="590" t="s">
        <v>745</v>
      </c>
      <c r="C22" s="591">
        <v>36</v>
      </c>
      <c r="D22" s="591">
        <v>3650</v>
      </c>
      <c r="E22" s="599">
        <f t="shared" ref="E22:E25" si="9">C22*D22</f>
        <v>131400</v>
      </c>
      <c r="F22" s="584"/>
      <c r="G22" s="594">
        <f>3</f>
        <v>3</v>
      </c>
      <c r="H22" s="595">
        <v>3650</v>
      </c>
      <c r="I22" s="595" t="e">
        <f t="shared" ref="I22:J22" si="10">#REF!</f>
        <v>#REF!</v>
      </c>
      <c r="J22" s="601" t="e">
        <f t="shared" si="10"/>
        <v>#REF!</v>
      </c>
      <c r="K22" s="602" t="e">
        <f t="shared" si="8"/>
        <v>#REF!</v>
      </c>
    </row>
    <row r="23" spans="1:13" ht="13.5" customHeight="1">
      <c r="A23" s="589" t="s">
        <v>1120</v>
      </c>
      <c r="B23" s="590" t="s">
        <v>745</v>
      </c>
      <c r="C23" s="591">
        <v>36</v>
      </c>
      <c r="D23" s="591">
        <v>2750</v>
      </c>
      <c r="E23" s="599">
        <f t="shared" si="9"/>
        <v>99000</v>
      </c>
      <c r="F23" s="584"/>
      <c r="G23" s="594">
        <v>3</v>
      </c>
      <c r="H23" s="595">
        <v>2750</v>
      </c>
      <c r="I23" s="595" t="e">
        <f t="shared" ref="I23:J23" si="11">#REF!</f>
        <v>#REF!</v>
      </c>
      <c r="J23" s="601" t="e">
        <f t="shared" si="11"/>
        <v>#REF!</v>
      </c>
      <c r="K23" s="602" t="e">
        <f t="shared" si="8"/>
        <v>#REF!</v>
      </c>
    </row>
    <row r="24" spans="1:13" ht="13.5" customHeight="1">
      <c r="A24" s="589" t="s">
        <v>1121</v>
      </c>
      <c r="B24" s="590" t="s">
        <v>745</v>
      </c>
      <c r="C24" s="591">
        <v>24</v>
      </c>
      <c r="D24" s="591">
        <v>2250</v>
      </c>
      <c r="E24" s="599">
        <f t="shared" si="9"/>
        <v>54000</v>
      </c>
      <c r="F24" s="584"/>
      <c r="G24" s="594">
        <v>3</v>
      </c>
      <c r="H24" s="595">
        <v>2250</v>
      </c>
      <c r="I24" s="595" t="e">
        <f t="shared" ref="I24:J24" si="12">#REF!</f>
        <v>#REF!</v>
      </c>
      <c r="J24" s="601" t="e">
        <f t="shared" si="12"/>
        <v>#REF!</v>
      </c>
      <c r="K24" s="602" t="e">
        <f t="shared" si="8"/>
        <v>#REF!</v>
      </c>
    </row>
    <row r="25" spans="1:13" ht="24" customHeight="1">
      <c r="A25" s="589" t="s">
        <v>1122</v>
      </c>
      <c r="B25" s="590" t="s">
        <v>745</v>
      </c>
      <c r="C25" s="591">
        <v>30</v>
      </c>
      <c r="D25" s="591">
        <v>2350</v>
      </c>
      <c r="E25" s="599">
        <f t="shared" si="9"/>
        <v>70500</v>
      </c>
      <c r="F25" s="584"/>
      <c r="G25" s="594">
        <v>3</v>
      </c>
      <c r="H25" s="595">
        <v>770</v>
      </c>
      <c r="I25" s="595" t="e">
        <f t="shared" ref="I25:J25" si="13">#REF!</f>
        <v>#REF!</v>
      </c>
      <c r="J25" s="601" t="e">
        <f t="shared" si="13"/>
        <v>#REF!</v>
      </c>
      <c r="K25" s="602" t="e">
        <f t="shared" si="8"/>
        <v>#REF!</v>
      </c>
    </row>
    <row r="26" spans="1:13" ht="27" customHeight="1">
      <c r="A26" s="589" t="s">
        <v>1241</v>
      </c>
      <c r="B26" s="590" t="s">
        <v>745</v>
      </c>
      <c r="C26" s="591">
        <f t="shared" ref="C26:E26" si="14">C27</f>
        <v>0</v>
      </c>
      <c r="D26" s="591">
        <f t="shared" si="14"/>
        <v>0</v>
      </c>
      <c r="E26" s="599">
        <f t="shared" si="14"/>
        <v>0</v>
      </c>
      <c r="F26" s="584"/>
      <c r="G26" s="594"/>
      <c r="H26" s="595"/>
      <c r="I26" s="596"/>
      <c r="J26" s="601"/>
      <c r="K26" s="602"/>
    </row>
    <row r="27" spans="1:13" ht="15.75" customHeight="1">
      <c r="A27" s="589" t="s">
        <v>1124</v>
      </c>
      <c r="B27" s="590" t="s">
        <v>1125</v>
      </c>
      <c r="C27" s="591">
        <v>0</v>
      </c>
      <c r="D27" s="591">
        <v>0</v>
      </c>
      <c r="E27" s="599">
        <v>0</v>
      </c>
      <c r="F27" s="607"/>
      <c r="G27" s="594"/>
      <c r="H27" s="595"/>
      <c r="I27" s="596"/>
      <c r="J27" s="601"/>
      <c r="K27" s="602"/>
    </row>
    <row r="28" spans="1:13" ht="16.5" customHeight="1">
      <c r="A28" s="589" t="s">
        <v>1242</v>
      </c>
      <c r="B28" s="590"/>
      <c r="C28" s="591">
        <v>1.6579999999999999</v>
      </c>
      <c r="D28" s="591">
        <v>150</v>
      </c>
      <c r="E28" s="592">
        <f>+E29+E35+E36</f>
        <v>278550</v>
      </c>
      <c r="F28" s="593"/>
      <c r="G28" s="594"/>
      <c r="H28" s="595">
        <v>150</v>
      </c>
      <c r="I28" s="596" t="e">
        <f t="shared" ref="I28:J28" si="15">I29+I35+I36</f>
        <v>#REF!</v>
      </c>
      <c r="J28" s="596" t="e">
        <f t="shared" si="15"/>
        <v>#REF!</v>
      </c>
      <c r="K28" s="598" t="e">
        <f t="shared" ref="K28:K33" si="16">I28+J28</f>
        <v>#REF!</v>
      </c>
    </row>
    <row r="29" spans="1:13" ht="15.75" customHeight="1">
      <c r="A29" s="608" t="s">
        <v>778</v>
      </c>
      <c r="B29" s="603" t="s">
        <v>779</v>
      </c>
      <c r="C29" s="604">
        <f>SUM(C30:C33)</f>
        <v>130</v>
      </c>
      <c r="D29" s="604">
        <f>E29/C29</f>
        <v>150</v>
      </c>
      <c r="E29" s="609">
        <f>SUM(E30:E33)</f>
        <v>19500</v>
      </c>
      <c r="F29" s="610"/>
      <c r="G29" s="594"/>
      <c r="H29" s="595">
        <v>150</v>
      </c>
      <c r="I29" s="596" t="e">
        <f t="shared" ref="I29:J29" si="17">#REF!</f>
        <v>#REF!</v>
      </c>
      <c r="J29" s="597" t="e">
        <f t="shared" si="17"/>
        <v>#REF!</v>
      </c>
      <c r="K29" s="602" t="e">
        <f t="shared" si="16"/>
        <v>#REF!</v>
      </c>
    </row>
    <row r="30" spans="1:13" ht="15" customHeight="1">
      <c r="A30" s="589" t="s">
        <v>1128</v>
      </c>
      <c r="B30" s="590" t="s">
        <v>779</v>
      </c>
      <c r="C30" s="591">
        <v>0</v>
      </c>
      <c r="D30" s="591">
        <v>0</v>
      </c>
      <c r="E30" s="599">
        <f t="shared" ref="E30:E33" si="18">C30*D30</f>
        <v>0</v>
      </c>
      <c r="F30" s="607"/>
      <c r="G30" s="594"/>
      <c r="H30" s="595"/>
      <c r="I30" s="595" t="e">
        <f t="shared" ref="I30:J30" si="19">#REF!</f>
        <v>#REF!</v>
      </c>
      <c r="J30" s="601" t="e">
        <f t="shared" si="19"/>
        <v>#REF!</v>
      </c>
      <c r="K30" s="602" t="e">
        <f t="shared" si="16"/>
        <v>#REF!</v>
      </c>
    </row>
    <row r="31" spans="1:13" ht="16.5" customHeight="1">
      <c r="A31" s="589" t="s">
        <v>1129</v>
      </c>
      <c r="B31" s="590" t="s">
        <v>779</v>
      </c>
      <c r="C31" s="591">
        <v>30</v>
      </c>
      <c r="D31" s="591">
        <v>150</v>
      </c>
      <c r="E31" s="599">
        <f t="shared" si="18"/>
        <v>4500</v>
      </c>
      <c r="F31" s="584"/>
      <c r="G31" s="594"/>
      <c r="H31" s="595">
        <v>150</v>
      </c>
      <c r="I31" s="595" t="e">
        <f t="shared" ref="I31:J31" si="20">#REF!</f>
        <v>#REF!</v>
      </c>
      <c r="J31" s="601" t="e">
        <f t="shared" si="20"/>
        <v>#REF!</v>
      </c>
      <c r="K31" s="602" t="e">
        <f t="shared" si="16"/>
        <v>#REF!</v>
      </c>
    </row>
    <row r="32" spans="1:13" ht="12.75" customHeight="1">
      <c r="A32" s="589" t="s">
        <v>1130</v>
      </c>
      <c r="B32" s="590" t="s">
        <v>779</v>
      </c>
      <c r="C32" s="591">
        <v>50</v>
      </c>
      <c r="D32" s="591">
        <v>150</v>
      </c>
      <c r="E32" s="599">
        <f t="shared" si="18"/>
        <v>7500</v>
      </c>
      <c r="F32" s="584"/>
      <c r="G32" s="594"/>
      <c r="H32" s="595">
        <v>150</v>
      </c>
      <c r="I32" s="595" t="e">
        <f t="shared" ref="I32:J32" si="21">#REF!</f>
        <v>#REF!</v>
      </c>
      <c r="J32" s="601" t="e">
        <f t="shared" si="21"/>
        <v>#REF!</v>
      </c>
      <c r="K32" s="602" t="e">
        <f t="shared" si="16"/>
        <v>#REF!</v>
      </c>
    </row>
    <row r="33" spans="1:11" ht="15" customHeight="1">
      <c r="A33" s="589" t="s">
        <v>1131</v>
      </c>
      <c r="B33" s="590" t="s">
        <v>779</v>
      </c>
      <c r="C33" s="591">
        <v>50</v>
      </c>
      <c r="D33" s="591">
        <v>150</v>
      </c>
      <c r="E33" s="599">
        <f t="shared" si="18"/>
        <v>7500</v>
      </c>
      <c r="F33" s="584"/>
      <c r="G33" s="594"/>
      <c r="H33" s="595">
        <v>150</v>
      </c>
      <c r="I33" s="595" t="e">
        <f t="shared" ref="I33:J33" si="22">#REF!</f>
        <v>#REF!</v>
      </c>
      <c r="J33" s="601" t="e">
        <f t="shared" si="22"/>
        <v>#REF!</v>
      </c>
      <c r="K33" s="602" t="e">
        <f t="shared" si="16"/>
        <v>#REF!</v>
      </c>
    </row>
    <row r="34" spans="1:11" ht="11.25" customHeight="1">
      <c r="A34" s="589"/>
      <c r="B34" s="590"/>
      <c r="C34" s="591"/>
      <c r="D34" s="591"/>
      <c r="E34" s="599"/>
      <c r="F34" s="607"/>
      <c r="G34" s="594"/>
      <c r="H34" s="595"/>
      <c r="I34" s="595"/>
      <c r="J34" s="601"/>
      <c r="K34" s="602"/>
    </row>
    <row r="35" spans="1:11" ht="14.25" customHeight="1">
      <c r="A35" s="608" t="s">
        <v>788</v>
      </c>
      <c r="B35" s="603" t="s">
        <v>779</v>
      </c>
      <c r="C35" s="604">
        <v>0</v>
      </c>
      <c r="D35" s="604">
        <v>0</v>
      </c>
      <c r="E35" s="611">
        <v>0</v>
      </c>
      <c r="F35" s="607"/>
      <c r="G35" s="594"/>
      <c r="H35" s="595"/>
      <c r="I35" s="595"/>
      <c r="J35" s="601"/>
      <c r="K35" s="602"/>
    </row>
    <row r="36" spans="1:11" ht="16.5" customHeight="1">
      <c r="A36" s="608" t="s">
        <v>1132</v>
      </c>
      <c r="B36" s="603" t="s">
        <v>779</v>
      </c>
      <c r="C36" s="604">
        <f>SUM(C37:C43)</f>
        <v>1727</v>
      </c>
      <c r="D36" s="604">
        <f>E36/C36</f>
        <v>150</v>
      </c>
      <c r="E36" s="609">
        <f>SUM(E37:E43)</f>
        <v>259050</v>
      </c>
      <c r="F36" s="612"/>
      <c r="G36" s="594"/>
      <c r="H36" s="604">
        <v>150</v>
      </c>
      <c r="I36" s="596" t="e">
        <f t="shared" ref="I36:J36" si="23">#REF!</f>
        <v>#REF!</v>
      </c>
      <c r="J36" s="597" t="e">
        <f t="shared" si="23"/>
        <v>#REF!</v>
      </c>
      <c r="K36" s="598" t="e">
        <f t="shared" ref="K36:K43" si="24">I36+J36</f>
        <v>#REF!</v>
      </c>
    </row>
    <row r="37" spans="1:11" ht="18" customHeight="1">
      <c r="A37" s="589" t="s">
        <v>1133</v>
      </c>
      <c r="B37" s="590" t="s">
        <v>779</v>
      </c>
      <c r="C37" s="591">
        <f t="shared" ref="C37:C38" si="25">25*7*2</f>
        <v>350</v>
      </c>
      <c r="D37" s="591">
        <v>150</v>
      </c>
      <c r="E37" s="599">
        <f t="shared" ref="E37:E43" si="26">C37*D37</f>
        <v>52500</v>
      </c>
      <c r="F37" s="584"/>
      <c r="G37" s="594"/>
      <c r="H37" s="591">
        <v>150</v>
      </c>
      <c r="I37" s="595" t="e">
        <f t="shared" ref="I37:J37" si="27">#REF!</f>
        <v>#REF!</v>
      </c>
      <c r="J37" s="601" t="e">
        <f t="shared" si="27"/>
        <v>#REF!</v>
      </c>
      <c r="K37" s="602" t="e">
        <f t="shared" si="24"/>
        <v>#REF!</v>
      </c>
    </row>
    <row r="38" spans="1:11" ht="15.75" customHeight="1">
      <c r="A38" s="589" t="s">
        <v>1134</v>
      </c>
      <c r="B38" s="590" t="s">
        <v>779</v>
      </c>
      <c r="C38" s="591">
        <f t="shared" si="25"/>
        <v>350</v>
      </c>
      <c r="D38" s="591">
        <v>150</v>
      </c>
      <c r="E38" s="599">
        <f t="shared" si="26"/>
        <v>52500</v>
      </c>
      <c r="F38" s="584"/>
      <c r="G38" s="594"/>
      <c r="H38" s="591">
        <v>150</v>
      </c>
      <c r="I38" s="595" t="e">
        <f t="shared" ref="I38:J38" si="28">#REF!</f>
        <v>#REF!</v>
      </c>
      <c r="J38" s="601" t="e">
        <f t="shared" si="28"/>
        <v>#REF!</v>
      </c>
      <c r="K38" s="602" t="e">
        <f t="shared" si="24"/>
        <v>#REF!</v>
      </c>
    </row>
    <row r="39" spans="1:11" ht="15.75" customHeight="1">
      <c r="A39" s="589" t="s">
        <v>1135</v>
      </c>
      <c r="B39" s="590" t="s">
        <v>779</v>
      </c>
      <c r="C39" s="591">
        <f>22*7*2</f>
        <v>308</v>
      </c>
      <c r="D39" s="591">
        <v>150</v>
      </c>
      <c r="E39" s="599">
        <f t="shared" si="26"/>
        <v>46200</v>
      </c>
      <c r="F39" s="584"/>
      <c r="G39" s="594"/>
      <c r="H39" s="591">
        <v>150</v>
      </c>
      <c r="I39" s="595" t="e">
        <f t="shared" ref="I39:J39" si="29">#REF!</f>
        <v>#REF!</v>
      </c>
      <c r="J39" s="601" t="e">
        <f t="shared" si="29"/>
        <v>#REF!</v>
      </c>
      <c r="K39" s="602" t="e">
        <f t="shared" si="24"/>
        <v>#REF!</v>
      </c>
    </row>
    <row r="40" spans="1:11" ht="12.75" customHeight="1">
      <c r="A40" s="589" t="s">
        <v>1136</v>
      </c>
      <c r="B40" s="590" t="s">
        <v>779</v>
      </c>
      <c r="C40" s="591">
        <f>16*7*2</f>
        <v>224</v>
      </c>
      <c r="D40" s="591">
        <v>150</v>
      </c>
      <c r="E40" s="599">
        <f t="shared" si="26"/>
        <v>33600</v>
      </c>
      <c r="F40" s="584"/>
      <c r="G40" s="594"/>
      <c r="H40" s="591">
        <v>150</v>
      </c>
      <c r="I40" s="595" t="e">
        <f t="shared" ref="I40:J40" si="30">#REF!</f>
        <v>#REF!</v>
      </c>
      <c r="J40" s="601" t="e">
        <f t="shared" si="30"/>
        <v>#REF!</v>
      </c>
      <c r="K40" s="602" t="e">
        <f t="shared" si="24"/>
        <v>#REF!</v>
      </c>
    </row>
    <row r="41" spans="1:11" ht="15" customHeight="1">
      <c r="A41" s="589" t="s">
        <v>1137</v>
      </c>
      <c r="B41" s="590" t="s">
        <v>779</v>
      </c>
      <c r="C41" s="591">
        <f>18*7*2</f>
        <v>252</v>
      </c>
      <c r="D41" s="591">
        <v>150</v>
      </c>
      <c r="E41" s="599">
        <f t="shared" si="26"/>
        <v>37800</v>
      </c>
      <c r="F41" s="584"/>
      <c r="G41" s="594"/>
      <c r="H41" s="591">
        <v>150</v>
      </c>
      <c r="I41" s="595" t="e">
        <f t="shared" ref="I41:J41" si="31">#REF!</f>
        <v>#REF!</v>
      </c>
      <c r="J41" s="601" t="e">
        <f t="shared" si="31"/>
        <v>#REF!</v>
      </c>
      <c r="K41" s="602" t="e">
        <f t="shared" si="24"/>
        <v>#REF!</v>
      </c>
    </row>
    <row r="42" spans="1:11" ht="12.75" customHeight="1">
      <c r="A42" s="589" t="s">
        <v>1138</v>
      </c>
      <c r="B42" s="590" t="s">
        <v>779</v>
      </c>
      <c r="C42" s="591">
        <v>0</v>
      </c>
      <c r="D42" s="591">
        <v>0</v>
      </c>
      <c r="E42" s="599">
        <f t="shared" si="26"/>
        <v>0</v>
      </c>
      <c r="F42" s="607"/>
      <c r="G42" s="594"/>
      <c r="H42" s="591">
        <v>0</v>
      </c>
      <c r="I42" s="595" t="e">
        <f t="shared" ref="I42:J42" si="32">#REF!</f>
        <v>#REF!</v>
      </c>
      <c r="J42" s="601" t="e">
        <f t="shared" si="32"/>
        <v>#REF!</v>
      </c>
      <c r="K42" s="602" t="e">
        <f t="shared" si="24"/>
        <v>#REF!</v>
      </c>
    </row>
    <row r="43" spans="1:11" ht="15.75" customHeight="1">
      <c r="A43" s="589" t="s">
        <v>1139</v>
      </c>
      <c r="B43" s="590" t="s">
        <v>779</v>
      </c>
      <c r="C43" s="591">
        <f>(12+15)*3*3</f>
        <v>243</v>
      </c>
      <c r="D43" s="591">
        <v>150</v>
      </c>
      <c r="E43" s="599">
        <f t="shared" si="26"/>
        <v>36450</v>
      </c>
      <c r="F43" s="584"/>
      <c r="G43" s="594"/>
      <c r="H43" s="591">
        <v>150</v>
      </c>
      <c r="I43" s="595" t="e">
        <f t="shared" ref="I43:J43" si="33">#REF!</f>
        <v>#REF!</v>
      </c>
      <c r="J43" s="601" t="e">
        <f t="shared" si="33"/>
        <v>#REF!</v>
      </c>
      <c r="K43" s="602" t="e">
        <f t="shared" si="24"/>
        <v>#REF!</v>
      </c>
    </row>
    <row r="44" spans="1:11" ht="9.75" customHeight="1">
      <c r="A44" s="608"/>
      <c r="B44" s="283"/>
      <c r="C44" s="273"/>
      <c r="D44" s="273"/>
      <c r="E44" s="613"/>
      <c r="F44" s="614"/>
      <c r="G44" s="594"/>
      <c r="H44" s="595"/>
      <c r="I44" s="595"/>
      <c r="J44" s="601"/>
      <c r="K44" s="602"/>
    </row>
    <row r="45" spans="1:11" ht="13.5" customHeight="1">
      <c r="A45" s="615" t="s">
        <v>794</v>
      </c>
      <c r="B45" s="616"/>
      <c r="C45" s="617"/>
      <c r="D45" s="618"/>
      <c r="E45" s="617">
        <f>E8+E26+E28</f>
        <v>1329950</v>
      </c>
      <c r="F45" s="618"/>
      <c r="G45" s="617"/>
      <c r="H45" s="617"/>
      <c r="I45" s="618" t="e">
        <f>I8+I26+I28</f>
        <v>#REF!</v>
      </c>
      <c r="J45" s="618" t="e">
        <f>#REF!</f>
        <v>#REF!</v>
      </c>
      <c r="K45" s="619" t="e">
        <f>I45+J45</f>
        <v>#REF!</v>
      </c>
    </row>
    <row r="46" spans="1:11" ht="15.75" customHeight="1">
      <c r="A46" s="582" t="s">
        <v>1243</v>
      </c>
      <c r="B46" s="445"/>
      <c r="C46" s="286"/>
      <c r="D46" s="286"/>
      <c r="E46" s="620"/>
      <c r="F46" s="584"/>
      <c r="G46" s="621"/>
      <c r="H46" s="596"/>
      <c r="I46" s="596"/>
      <c r="J46" s="597"/>
      <c r="K46" s="598"/>
    </row>
    <row r="47" spans="1:11" ht="13.5" customHeight="1">
      <c r="A47" s="608" t="s">
        <v>795</v>
      </c>
      <c r="B47" s="603" t="s">
        <v>796</v>
      </c>
      <c r="C47" s="604">
        <f>SUM(C48:C59)</f>
        <v>332</v>
      </c>
      <c r="D47" s="604">
        <f>E47/C47</f>
        <v>800</v>
      </c>
      <c r="E47" s="609">
        <f>SUM(E48:E59)</f>
        <v>265600</v>
      </c>
      <c r="F47" s="622"/>
      <c r="G47" s="621"/>
      <c r="H47" s="596">
        <v>800</v>
      </c>
      <c r="I47" s="596" t="e">
        <f t="shared" ref="I47:J47" si="34">#REF!</f>
        <v>#REF!</v>
      </c>
      <c r="J47" s="597" t="e">
        <f t="shared" si="34"/>
        <v>#REF!</v>
      </c>
      <c r="K47" s="598" t="e">
        <f t="shared" ref="K47:K62" si="35">I47+J47</f>
        <v>#REF!</v>
      </c>
    </row>
    <row r="48" spans="1:11" ht="14.25" customHeight="1">
      <c r="A48" s="589" t="s">
        <v>1128</v>
      </c>
      <c r="B48" s="590" t="s">
        <v>779</v>
      </c>
      <c r="C48" s="591">
        <v>0</v>
      </c>
      <c r="D48" s="591">
        <v>0</v>
      </c>
      <c r="E48" s="599">
        <v>0</v>
      </c>
      <c r="F48" s="584"/>
      <c r="G48" s="621"/>
      <c r="H48" s="591">
        <v>0</v>
      </c>
      <c r="I48" s="595" t="e">
        <f t="shared" ref="I48:J48" si="36">#REF!</f>
        <v>#REF!</v>
      </c>
      <c r="J48" s="601" t="e">
        <f t="shared" si="36"/>
        <v>#REF!</v>
      </c>
      <c r="K48" s="602" t="e">
        <f t="shared" si="35"/>
        <v>#REF!</v>
      </c>
    </row>
    <row r="49" spans="1:11" ht="14.25" customHeight="1">
      <c r="A49" s="589" t="s">
        <v>1129</v>
      </c>
      <c r="B49" s="590" t="s">
        <v>796</v>
      </c>
      <c r="C49" s="591">
        <v>10</v>
      </c>
      <c r="D49" s="591">
        <v>800</v>
      </c>
      <c r="E49" s="599">
        <f t="shared" ref="E49:E51" si="37">C49*D49</f>
        <v>8000</v>
      </c>
      <c r="F49" s="584"/>
      <c r="G49" s="621"/>
      <c r="H49" s="591">
        <v>800</v>
      </c>
      <c r="I49" s="595" t="e">
        <f t="shared" ref="I49:J49" si="38">#REF!</f>
        <v>#REF!</v>
      </c>
      <c r="J49" s="601" t="e">
        <f t="shared" si="38"/>
        <v>#REF!</v>
      </c>
      <c r="K49" s="602" t="e">
        <f t="shared" si="35"/>
        <v>#REF!</v>
      </c>
    </row>
    <row r="50" spans="1:11" ht="16.5" customHeight="1">
      <c r="A50" s="589" t="s">
        <v>1130</v>
      </c>
      <c r="B50" s="590" t="s">
        <v>796</v>
      </c>
      <c r="C50" s="591">
        <v>20</v>
      </c>
      <c r="D50" s="591">
        <v>800</v>
      </c>
      <c r="E50" s="599">
        <f t="shared" si="37"/>
        <v>16000</v>
      </c>
      <c r="F50" s="584"/>
      <c r="G50" s="621"/>
      <c r="H50" s="591">
        <v>800</v>
      </c>
      <c r="I50" s="595" t="e">
        <f t="shared" ref="I50:J50" si="39">#REF!</f>
        <v>#REF!</v>
      </c>
      <c r="J50" s="601" t="e">
        <f t="shared" si="39"/>
        <v>#REF!</v>
      </c>
      <c r="K50" s="602" t="e">
        <f t="shared" si="35"/>
        <v>#REF!</v>
      </c>
    </row>
    <row r="51" spans="1:11" ht="16.5" customHeight="1">
      <c r="A51" s="589" t="s">
        <v>1131</v>
      </c>
      <c r="B51" s="590" t="s">
        <v>796</v>
      </c>
      <c r="C51" s="591">
        <v>9</v>
      </c>
      <c r="D51" s="591">
        <v>800</v>
      </c>
      <c r="E51" s="599">
        <f t="shared" si="37"/>
        <v>7200</v>
      </c>
      <c r="F51" s="584"/>
      <c r="G51" s="621"/>
      <c r="H51" s="591">
        <v>800</v>
      </c>
      <c r="I51" s="595" t="e">
        <f t="shared" ref="I51:J51" si="40">#REF!</f>
        <v>#REF!</v>
      </c>
      <c r="J51" s="601" t="e">
        <f t="shared" si="40"/>
        <v>#REF!</v>
      </c>
      <c r="K51" s="602" t="e">
        <f t="shared" si="35"/>
        <v>#REF!</v>
      </c>
    </row>
    <row r="52" spans="1:11" ht="10.5" customHeight="1">
      <c r="A52" s="589"/>
      <c r="B52" s="590"/>
      <c r="C52" s="591"/>
      <c r="D52" s="591"/>
      <c r="E52" s="599"/>
      <c r="F52" s="584"/>
      <c r="G52" s="621"/>
      <c r="H52" s="591"/>
      <c r="I52" s="595"/>
      <c r="J52" s="601" t="e">
        <f>#REF!</f>
        <v>#REF!</v>
      </c>
      <c r="K52" s="602" t="e">
        <f t="shared" si="35"/>
        <v>#REF!</v>
      </c>
    </row>
    <row r="53" spans="1:11" ht="14.25" customHeight="1">
      <c r="A53" s="589" t="s">
        <v>1133</v>
      </c>
      <c r="B53" s="590" t="s">
        <v>796</v>
      </c>
      <c r="C53" s="591">
        <f t="shared" ref="C53:C54" si="41">25*2</f>
        <v>50</v>
      </c>
      <c r="D53" s="591">
        <v>800</v>
      </c>
      <c r="E53" s="599">
        <f t="shared" ref="E53:E59" si="42">C53*D53</f>
        <v>40000</v>
      </c>
      <c r="F53" s="584"/>
      <c r="G53" s="621"/>
      <c r="H53" s="591">
        <v>800</v>
      </c>
      <c r="I53" s="595" t="e">
        <f t="shared" ref="I53:J53" si="43">#REF!</f>
        <v>#REF!</v>
      </c>
      <c r="J53" s="601" t="e">
        <f t="shared" si="43"/>
        <v>#REF!</v>
      </c>
      <c r="K53" s="602" t="e">
        <f t="shared" si="35"/>
        <v>#REF!</v>
      </c>
    </row>
    <row r="54" spans="1:11" ht="12.75" customHeight="1">
      <c r="A54" s="589" t="s">
        <v>1134</v>
      </c>
      <c r="B54" s="590" t="s">
        <v>796</v>
      </c>
      <c r="C54" s="591">
        <f t="shared" si="41"/>
        <v>50</v>
      </c>
      <c r="D54" s="591">
        <v>800</v>
      </c>
      <c r="E54" s="599">
        <f t="shared" si="42"/>
        <v>40000</v>
      </c>
      <c r="F54" s="584"/>
      <c r="G54" s="621"/>
      <c r="H54" s="591">
        <v>800</v>
      </c>
      <c r="I54" s="595" t="e">
        <f t="shared" ref="I54:J54" si="44">#REF!</f>
        <v>#REF!</v>
      </c>
      <c r="J54" s="601" t="e">
        <f t="shared" si="44"/>
        <v>#REF!</v>
      </c>
      <c r="K54" s="602" t="e">
        <f t="shared" si="35"/>
        <v>#REF!</v>
      </c>
    </row>
    <row r="55" spans="1:11" ht="15" customHeight="1">
      <c r="A55" s="589" t="s">
        <v>1141</v>
      </c>
      <c r="B55" s="590" t="s">
        <v>796</v>
      </c>
      <c r="C55" s="591">
        <f>22*2</f>
        <v>44</v>
      </c>
      <c r="D55" s="591">
        <v>800</v>
      </c>
      <c r="E55" s="599">
        <f t="shared" si="42"/>
        <v>35200</v>
      </c>
      <c r="F55" s="584"/>
      <c r="G55" s="621"/>
      <c r="H55" s="591">
        <v>800</v>
      </c>
      <c r="I55" s="595" t="e">
        <f t="shared" ref="I55:J55" si="45">#REF!</f>
        <v>#REF!</v>
      </c>
      <c r="J55" s="601" t="e">
        <f t="shared" si="45"/>
        <v>#REF!</v>
      </c>
      <c r="K55" s="602" t="e">
        <f t="shared" si="35"/>
        <v>#REF!</v>
      </c>
    </row>
    <row r="56" spans="1:11" ht="17.25" customHeight="1">
      <c r="A56" s="589" t="s">
        <v>1136</v>
      </c>
      <c r="B56" s="590" t="s">
        <v>796</v>
      </c>
      <c r="C56" s="591">
        <f>16*2</f>
        <v>32</v>
      </c>
      <c r="D56" s="591">
        <v>800</v>
      </c>
      <c r="E56" s="599">
        <f t="shared" si="42"/>
        <v>25600</v>
      </c>
      <c r="F56" s="584"/>
      <c r="G56" s="621"/>
      <c r="H56" s="591">
        <v>800</v>
      </c>
      <c r="I56" s="595" t="e">
        <f t="shared" ref="I56:J56" si="46">#REF!</f>
        <v>#REF!</v>
      </c>
      <c r="J56" s="601" t="e">
        <f t="shared" si="46"/>
        <v>#REF!</v>
      </c>
      <c r="K56" s="602" t="e">
        <f t="shared" si="35"/>
        <v>#REF!</v>
      </c>
    </row>
    <row r="57" spans="1:11" ht="18" customHeight="1">
      <c r="A57" s="589" t="s">
        <v>1137</v>
      </c>
      <c r="B57" s="590" t="s">
        <v>796</v>
      </c>
      <c r="C57" s="591">
        <f>18*2</f>
        <v>36</v>
      </c>
      <c r="D57" s="591">
        <v>800</v>
      </c>
      <c r="E57" s="599">
        <f t="shared" si="42"/>
        <v>28800</v>
      </c>
      <c r="F57" s="584"/>
      <c r="G57" s="621"/>
      <c r="H57" s="591">
        <v>800</v>
      </c>
      <c r="I57" s="595" t="e">
        <f t="shared" ref="I57:J57" si="47">#REF!</f>
        <v>#REF!</v>
      </c>
      <c r="J57" s="601" t="e">
        <f t="shared" si="47"/>
        <v>#REF!</v>
      </c>
      <c r="K57" s="602" t="e">
        <f t="shared" si="35"/>
        <v>#REF!</v>
      </c>
    </row>
    <row r="58" spans="1:11" ht="12" customHeight="1">
      <c r="A58" s="589" t="s">
        <v>1124</v>
      </c>
      <c r="B58" s="590" t="s">
        <v>796</v>
      </c>
      <c r="C58" s="591">
        <v>0</v>
      </c>
      <c r="D58" s="591">
        <v>0</v>
      </c>
      <c r="E58" s="599">
        <f t="shared" si="42"/>
        <v>0</v>
      </c>
      <c r="F58" s="584"/>
      <c r="G58" s="621"/>
      <c r="H58" s="591">
        <v>0</v>
      </c>
      <c r="I58" s="595" t="e">
        <f t="shared" ref="I58:J58" si="48">#REF!</f>
        <v>#REF!</v>
      </c>
      <c r="J58" s="601" t="e">
        <f t="shared" si="48"/>
        <v>#REF!</v>
      </c>
      <c r="K58" s="602" t="e">
        <f t="shared" si="35"/>
        <v>#REF!</v>
      </c>
    </row>
    <row r="59" spans="1:11" ht="12.75" customHeight="1">
      <c r="A59" s="589" t="s">
        <v>1139</v>
      </c>
      <c r="B59" s="590" t="s">
        <v>796</v>
      </c>
      <c r="C59" s="591">
        <f>(12+15)*3</f>
        <v>81</v>
      </c>
      <c r="D59" s="591">
        <v>800</v>
      </c>
      <c r="E59" s="599">
        <f t="shared" si="42"/>
        <v>64800</v>
      </c>
      <c r="F59" s="584"/>
      <c r="G59" s="621"/>
      <c r="H59" s="591">
        <v>800</v>
      </c>
      <c r="I59" s="595" t="e">
        <f t="shared" ref="I59:J59" si="49">#REF!</f>
        <v>#REF!</v>
      </c>
      <c r="J59" s="601" t="e">
        <f t="shared" si="49"/>
        <v>#REF!</v>
      </c>
      <c r="K59" s="602" t="e">
        <f t="shared" si="35"/>
        <v>#REF!</v>
      </c>
    </row>
    <row r="60" spans="1:11" ht="12" customHeight="1">
      <c r="A60" s="608"/>
      <c r="B60" s="603"/>
      <c r="C60" s="604"/>
      <c r="D60" s="604"/>
      <c r="E60" s="611"/>
      <c r="F60" s="584"/>
      <c r="G60" s="621"/>
      <c r="H60" s="604"/>
      <c r="I60" s="595"/>
      <c r="J60" s="601" t="e">
        <f t="shared" ref="J60:J62" si="50">#REF!</f>
        <v>#REF!</v>
      </c>
      <c r="K60" s="602" t="e">
        <f t="shared" si="35"/>
        <v>#REF!</v>
      </c>
    </row>
    <row r="61" spans="1:11" ht="14.25" customHeight="1">
      <c r="A61" s="608" t="s">
        <v>1244</v>
      </c>
      <c r="B61" s="603" t="s">
        <v>745</v>
      </c>
      <c r="C61" s="604">
        <v>0</v>
      </c>
      <c r="D61" s="604">
        <v>150</v>
      </c>
      <c r="E61" s="611">
        <v>0</v>
      </c>
      <c r="F61" s="584"/>
      <c r="G61" s="621"/>
      <c r="H61" s="604">
        <v>150</v>
      </c>
      <c r="I61" s="595">
        <f>0</f>
        <v>0</v>
      </c>
      <c r="J61" s="601" t="e">
        <f t="shared" si="50"/>
        <v>#REF!</v>
      </c>
      <c r="K61" s="602" t="e">
        <f t="shared" si="35"/>
        <v>#REF!</v>
      </c>
    </row>
    <row r="62" spans="1:11" ht="15" customHeight="1">
      <c r="A62" s="615" t="s">
        <v>816</v>
      </c>
      <c r="B62" s="616"/>
      <c r="C62" s="617"/>
      <c r="D62" s="618"/>
      <c r="E62" s="617">
        <f>E47+E61</f>
        <v>265600</v>
      </c>
      <c r="F62" s="623"/>
      <c r="G62" s="624"/>
      <c r="H62" s="625"/>
      <c r="I62" s="626" t="e">
        <f>I47+I61</f>
        <v>#REF!</v>
      </c>
      <c r="J62" s="627" t="e">
        <f t="shared" si="50"/>
        <v>#REF!</v>
      </c>
      <c r="K62" s="619" t="e">
        <f t="shared" si="35"/>
        <v>#REF!</v>
      </c>
    </row>
    <row r="63" spans="1:11" ht="15.75" customHeight="1">
      <c r="A63" s="582" t="s">
        <v>1245</v>
      </c>
      <c r="B63" s="445"/>
      <c r="C63" s="286"/>
      <c r="D63" s="286"/>
      <c r="E63" s="620"/>
      <c r="F63" s="584"/>
      <c r="G63" s="621"/>
      <c r="H63" s="596"/>
      <c r="I63" s="596"/>
      <c r="J63" s="597"/>
      <c r="K63" s="598"/>
    </row>
    <row r="64" spans="1:11" ht="15" customHeight="1">
      <c r="A64" s="608" t="s">
        <v>1144</v>
      </c>
      <c r="B64" s="603" t="s">
        <v>818</v>
      </c>
      <c r="C64" s="604">
        <v>2</v>
      </c>
      <c r="D64" s="604">
        <v>30000</v>
      </c>
      <c r="E64" s="611">
        <f>C64*D64</f>
        <v>60000</v>
      </c>
      <c r="F64" s="584"/>
      <c r="G64" s="621"/>
      <c r="H64" s="596"/>
      <c r="I64" s="596" t="e">
        <f t="shared" ref="I64:J64" si="51">#REF!</f>
        <v>#REF!</v>
      </c>
      <c r="J64" s="597" t="e">
        <f t="shared" si="51"/>
        <v>#REF!</v>
      </c>
      <c r="K64" s="598" t="e">
        <f t="shared" ref="K64:K75" si="52">I64+J64</f>
        <v>#REF!</v>
      </c>
    </row>
    <row r="65" spans="1:13" ht="15" customHeight="1">
      <c r="A65" s="608" t="s">
        <v>819</v>
      </c>
      <c r="B65" s="603"/>
      <c r="C65" s="604">
        <f>SUM(C66:C71)</f>
        <v>21</v>
      </c>
      <c r="D65" s="604">
        <f>E65/C65</f>
        <v>2976.1904761904761</v>
      </c>
      <c r="E65" s="611">
        <f>SUM(E66:E71)</f>
        <v>62500</v>
      </c>
      <c r="F65" s="622"/>
      <c r="G65" s="621"/>
      <c r="H65" s="596"/>
      <c r="I65" s="596" t="e">
        <f t="shared" ref="I65:J65" si="53">#REF!</f>
        <v>#REF!</v>
      </c>
      <c r="J65" s="601" t="e">
        <f t="shared" si="53"/>
        <v>#REF!</v>
      </c>
      <c r="K65" s="602" t="e">
        <f t="shared" si="52"/>
        <v>#REF!</v>
      </c>
    </row>
    <row r="66" spans="1:13" ht="13.5" customHeight="1">
      <c r="A66" s="589" t="s">
        <v>1246</v>
      </c>
      <c r="B66" s="590" t="s">
        <v>1146</v>
      </c>
      <c r="C66" s="591">
        <v>15</v>
      </c>
      <c r="D66" s="591">
        <v>800</v>
      </c>
      <c r="E66" s="599">
        <f t="shared" ref="E66:E71" si="54">C66*D66</f>
        <v>12000</v>
      </c>
      <c r="F66" s="584"/>
      <c r="G66" s="621"/>
      <c r="H66" s="596"/>
      <c r="I66" s="595" t="e">
        <f t="shared" ref="I66:J66" si="55">#REF!</f>
        <v>#REF!</v>
      </c>
      <c r="J66" s="601" t="e">
        <f t="shared" si="55"/>
        <v>#REF!</v>
      </c>
      <c r="K66" s="602" t="e">
        <f t="shared" si="52"/>
        <v>#REF!</v>
      </c>
    </row>
    <row r="67" spans="1:13" ht="14.25" customHeight="1">
      <c r="A67" s="589" t="s">
        <v>1147</v>
      </c>
      <c r="B67" s="590" t="s">
        <v>1148</v>
      </c>
      <c r="C67" s="591">
        <v>1</v>
      </c>
      <c r="D67" s="591">
        <v>10500</v>
      </c>
      <c r="E67" s="599">
        <f t="shared" si="54"/>
        <v>10500</v>
      </c>
      <c r="F67" s="584"/>
      <c r="G67" s="621"/>
      <c r="H67" s="596"/>
      <c r="I67" s="595" t="e">
        <f t="shared" ref="I67:J67" si="56">#REF!</f>
        <v>#REF!</v>
      </c>
      <c r="J67" s="601" t="e">
        <f t="shared" si="56"/>
        <v>#REF!</v>
      </c>
      <c r="K67" s="602" t="e">
        <f t="shared" si="52"/>
        <v>#REF!</v>
      </c>
    </row>
    <row r="68" spans="1:13" ht="12" customHeight="1">
      <c r="A68" s="589" t="s">
        <v>1149</v>
      </c>
      <c r="B68" s="590" t="s">
        <v>1148</v>
      </c>
      <c r="C68" s="591">
        <v>1</v>
      </c>
      <c r="D68" s="591">
        <v>20000</v>
      </c>
      <c r="E68" s="599">
        <f t="shared" si="54"/>
        <v>20000</v>
      </c>
      <c r="F68" s="584"/>
      <c r="G68" s="621"/>
      <c r="H68" s="596"/>
      <c r="I68" s="595" t="e">
        <f t="shared" ref="I68:J68" si="57">#REF!</f>
        <v>#REF!</v>
      </c>
      <c r="J68" s="601" t="e">
        <f t="shared" si="57"/>
        <v>#REF!</v>
      </c>
      <c r="K68" s="602" t="e">
        <f t="shared" si="52"/>
        <v>#REF!</v>
      </c>
    </row>
    <row r="69" spans="1:13" ht="25.5" customHeight="1">
      <c r="A69" s="589" t="s">
        <v>1150</v>
      </c>
      <c r="B69" s="590" t="s">
        <v>847</v>
      </c>
      <c r="C69" s="591">
        <v>3</v>
      </c>
      <c r="D69" s="591">
        <v>5000</v>
      </c>
      <c r="E69" s="599">
        <f t="shared" si="54"/>
        <v>15000</v>
      </c>
      <c r="F69" s="584"/>
      <c r="G69" s="621"/>
      <c r="H69" s="596"/>
      <c r="I69" s="595" t="e">
        <f t="shared" ref="I69:J69" si="58">#REF!</f>
        <v>#REF!</v>
      </c>
      <c r="J69" s="601" t="e">
        <f t="shared" si="58"/>
        <v>#REF!</v>
      </c>
      <c r="K69" s="602" t="e">
        <f t="shared" si="52"/>
        <v>#REF!</v>
      </c>
      <c r="M69" s="185"/>
    </row>
    <row r="70" spans="1:13" ht="15.75" customHeight="1">
      <c r="A70" s="589" t="s">
        <v>1247</v>
      </c>
      <c r="B70" s="590" t="s">
        <v>1148</v>
      </c>
      <c r="C70" s="591">
        <v>1</v>
      </c>
      <c r="D70" s="591">
        <v>5000</v>
      </c>
      <c r="E70" s="599">
        <f t="shared" si="54"/>
        <v>5000</v>
      </c>
      <c r="F70" s="584"/>
      <c r="G70" s="621"/>
      <c r="H70" s="596"/>
      <c r="I70" s="595" t="e">
        <f t="shared" ref="I70:J70" si="59">#REF!</f>
        <v>#REF!</v>
      </c>
      <c r="J70" s="601" t="e">
        <f t="shared" si="59"/>
        <v>#REF!</v>
      </c>
      <c r="K70" s="602" t="e">
        <f t="shared" si="52"/>
        <v>#REF!</v>
      </c>
    </row>
    <row r="71" spans="1:13" ht="15" customHeight="1">
      <c r="A71" s="589" t="s">
        <v>1152</v>
      </c>
      <c r="B71" s="590" t="s">
        <v>1148</v>
      </c>
      <c r="C71" s="591">
        <v>0</v>
      </c>
      <c r="D71" s="591">
        <v>0</v>
      </c>
      <c r="E71" s="599">
        <f t="shared" si="54"/>
        <v>0</v>
      </c>
      <c r="F71" s="584"/>
      <c r="G71" s="621"/>
      <c r="H71" s="596"/>
      <c r="I71" s="595" t="e">
        <f t="shared" ref="I71:J71" si="60">#REF!</f>
        <v>#REF!</v>
      </c>
      <c r="J71" s="601" t="e">
        <f t="shared" si="60"/>
        <v>#REF!</v>
      </c>
      <c r="K71" s="602" t="e">
        <f t="shared" si="52"/>
        <v>#REF!</v>
      </c>
    </row>
    <row r="72" spans="1:13" ht="16.5" customHeight="1">
      <c r="A72" s="608" t="s">
        <v>1153</v>
      </c>
      <c r="B72" s="603"/>
      <c r="C72" s="604"/>
      <c r="D72" s="604"/>
      <c r="E72" s="611">
        <v>0</v>
      </c>
      <c r="F72" s="584"/>
      <c r="G72" s="621"/>
      <c r="H72" s="596"/>
      <c r="I72" s="595" t="e">
        <f t="shared" ref="I72:J72" si="61">#REF!</f>
        <v>#REF!</v>
      </c>
      <c r="J72" s="601" t="e">
        <f t="shared" si="61"/>
        <v>#REF!</v>
      </c>
      <c r="K72" s="602" t="e">
        <f t="shared" si="52"/>
        <v>#REF!</v>
      </c>
    </row>
    <row r="73" spans="1:13" ht="16.5" customHeight="1">
      <c r="A73" s="608" t="s">
        <v>1154</v>
      </c>
      <c r="B73" s="603"/>
      <c r="C73" s="604"/>
      <c r="D73" s="604"/>
      <c r="E73" s="611">
        <v>0</v>
      </c>
      <c r="F73" s="584"/>
      <c r="G73" s="621"/>
      <c r="H73" s="596"/>
      <c r="I73" s="595" t="e">
        <f t="shared" ref="I73:J73" si="62">#REF!</f>
        <v>#REF!</v>
      </c>
      <c r="J73" s="601" t="e">
        <f t="shared" si="62"/>
        <v>#REF!</v>
      </c>
      <c r="K73" s="602" t="e">
        <f t="shared" si="52"/>
        <v>#REF!</v>
      </c>
    </row>
    <row r="74" spans="1:13" ht="14.25" customHeight="1">
      <c r="A74" s="608" t="s">
        <v>949</v>
      </c>
      <c r="B74" s="603"/>
      <c r="C74" s="604"/>
      <c r="D74" s="604"/>
      <c r="E74" s="611">
        <v>0</v>
      </c>
      <c r="F74" s="584"/>
      <c r="G74" s="594"/>
      <c r="H74" s="595"/>
      <c r="I74" s="595" t="e">
        <f t="shared" ref="I74:J74" si="63">#REF!</f>
        <v>#REF!</v>
      </c>
      <c r="J74" s="601" t="e">
        <f t="shared" si="63"/>
        <v>#REF!</v>
      </c>
      <c r="K74" s="602" t="e">
        <f t="shared" si="52"/>
        <v>#REF!</v>
      </c>
      <c r="M74" s="185"/>
    </row>
    <row r="75" spans="1:13" ht="16.5" customHeight="1">
      <c r="A75" s="615" t="s">
        <v>844</v>
      </c>
      <c r="B75" s="616"/>
      <c r="C75" s="617"/>
      <c r="D75" s="618"/>
      <c r="E75" s="617">
        <f>E64+E65+E72+E73+E74</f>
        <v>122500</v>
      </c>
      <c r="F75" s="618"/>
      <c r="G75" s="624"/>
      <c r="H75" s="625"/>
      <c r="I75" s="626" t="e">
        <f>I64+I65</f>
        <v>#REF!</v>
      </c>
      <c r="J75" s="627" t="e">
        <f>#REF!</f>
        <v>#REF!</v>
      </c>
      <c r="K75" s="619" t="e">
        <f t="shared" si="52"/>
        <v>#REF!</v>
      </c>
      <c r="M75" s="185"/>
    </row>
    <row r="76" spans="1:13" ht="15.75" customHeight="1">
      <c r="A76" s="628" t="s">
        <v>845</v>
      </c>
      <c r="B76" s="629"/>
      <c r="C76" s="630"/>
      <c r="D76" s="630"/>
      <c r="E76" s="631"/>
      <c r="F76" s="632"/>
      <c r="G76" s="633"/>
      <c r="H76" s="634"/>
      <c r="I76" s="634"/>
      <c r="J76" s="635"/>
      <c r="K76" s="636"/>
    </row>
    <row r="77" spans="1:13" ht="13.5" customHeight="1">
      <c r="A77" s="608" t="s">
        <v>1248</v>
      </c>
      <c r="B77" s="603" t="s">
        <v>847</v>
      </c>
      <c r="C77" s="604">
        <f>SUM(C78:C79)</f>
        <v>6</v>
      </c>
      <c r="D77" s="604">
        <f>E77/C77</f>
        <v>3750</v>
      </c>
      <c r="E77" s="611">
        <f>SUM(E78:E79)</f>
        <v>22500</v>
      </c>
      <c r="F77" s="584"/>
      <c r="G77" s="594"/>
      <c r="H77" s="595"/>
      <c r="I77" s="595" t="e">
        <f t="shared" ref="I77:J77" si="64">#REF!</f>
        <v>#REF!</v>
      </c>
      <c r="J77" s="601" t="e">
        <f t="shared" si="64"/>
        <v>#REF!</v>
      </c>
      <c r="K77" s="637" t="e">
        <f t="shared" ref="K77:K83" si="65">I77+J77</f>
        <v>#REF!</v>
      </c>
    </row>
    <row r="78" spans="1:13" ht="14.25" customHeight="1">
      <c r="A78" s="608" t="s">
        <v>1156</v>
      </c>
      <c r="B78" s="638" t="s">
        <v>847</v>
      </c>
      <c r="C78" s="639">
        <v>3</v>
      </c>
      <c r="D78" s="604">
        <v>2500</v>
      </c>
      <c r="E78" s="611">
        <f t="shared" ref="E78:E79" si="66">C78*D78</f>
        <v>7500</v>
      </c>
      <c r="F78" s="584"/>
      <c r="G78" s="594"/>
      <c r="H78" s="595"/>
      <c r="I78" s="595" t="e">
        <f t="shared" ref="I78:J78" si="67">#REF!</f>
        <v>#REF!</v>
      </c>
      <c r="J78" s="601" t="e">
        <f t="shared" si="67"/>
        <v>#REF!</v>
      </c>
      <c r="K78" s="637" t="e">
        <f t="shared" si="65"/>
        <v>#REF!</v>
      </c>
    </row>
    <row r="79" spans="1:13" ht="12" customHeight="1">
      <c r="A79" s="589" t="s">
        <v>1157</v>
      </c>
      <c r="B79" s="640" t="s">
        <v>847</v>
      </c>
      <c r="C79" s="641">
        <v>3</v>
      </c>
      <c r="D79" s="591">
        <v>5000</v>
      </c>
      <c r="E79" s="599">
        <f t="shared" si="66"/>
        <v>15000</v>
      </c>
      <c r="F79" s="642"/>
      <c r="G79" s="643"/>
      <c r="H79" s="644"/>
      <c r="I79" s="595" t="e">
        <f t="shared" ref="I79:J79" si="68">#REF!</f>
        <v>#REF!</v>
      </c>
      <c r="J79" s="601" t="e">
        <f t="shared" si="68"/>
        <v>#REF!</v>
      </c>
      <c r="K79" s="637" t="e">
        <f t="shared" si="65"/>
        <v>#REF!</v>
      </c>
    </row>
    <row r="80" spans="1:13" ht="12.75" customHeight="1">
      <c r="A80" s="608" t="s">
        <v>849</v>
      </c>
      <c r="B80" s="603" t="s">
        <v>847</v>
      </c>
      <c r="C80" s="604">
        <v>0</v>
      </c>
      <c r="D80" s="604">
        <v>0</v>
      </c>
      <c r="E80" s="611">
        <v>0</v>
      </c>
      <c r="F80" s="584"/>
      <c r="G80" s="594"/>
      <c r="H80" s="595"/>
      <c r="I80" s="595" t="e">
        <f t="shared" ref="I80:J80" si="69">#REF!</f>
        <v>#REF!</v>
      </c>
      <c r="J80" s="601" t="e">
        <f t="shared" si="69"/>
        <v>#REF!</v>
      </c>
      <c r="K80" s="637" t="e">
        <f t="shared" si="65"/>
        <v>#REF!</v>
      </c>
    </row>
    <row r="81" spans="1:13" ht="13.5" customHeight="1">
      <c r="A81" s="608" t="s">
        <v>1159</v>
      </c>
      <c r="B81" s="603" t="s">
        <v>847</v>
      </c>
      <c r="C81" s="604">
        <v>3</v>
      </c>
      <c r="D81" s="604">
        <v>10000</v>
      </c>
      <c r="E81" s="611">
        <f t="shared" ref="E81:E82" si="70">C81*D81</f>
        <v>30000</v>
      </c>
      <c r="F81" s="584"/>
      <c r="G81" s="594"/>
      <c r="H81" s="595"/>
      <c r="I81" s="595" t="e">
        <f t="shared" ref="I81:J81" si="71">#REF!</f>
        <v>#REF!</v>
      </c>
      <c r="J81" s="601" t="e">
        <f t="shared" si="71"/>
        <v>#REF!</v>
      </c>
      <c r="K81" s="637" t="e">
        <f t="shared" si="65"/>
        <v>#REF!</v>
      </c>
    </row>
    <row r="82" spans="1:13" ht="26.25" customHeight="1">
      <c r="A82" s="608" t="s">
        <v>1249</v>
      </c>
      <c r="B82" s="603" t="s">
        <v>745</v>
      </c>
      <c r="C82" s="604">
        <v>36</v>
      </c>
      <c r="D82" s="604">
        <v>1600</v>
      </c>
      <c r="E82" s="611">
        <f t="shared" si="70"/>
        <v>57600</v>
      </c>
      <c r="F82" s="584"/>
      <c r="G82" s="594"/>
      <c r="H82" s="595"/>
      <c r="I82" s="595" t="e">
        <f t="shared" ref="I82:J82" si="72">#REF!</f>
        <v>#REF!</v>
      </c>
      <c r="J82" s="601" t="e">
        <f t="shared" si="72"/>
        <v>#REF!</v>
      </c>
      <c r="K82" s="637" t="e">
        <f t="shared" si="65"/>
        <v>#REF!</v>
      </c>
    </row>
    <row r="83" spans="1:13" ht="15.75" customHeight="1">
      <c r="A83" s="615" t="s">
        <v>852</v>
      </c>
      <c r="B83" s="645"/>
      <c r="C83" s="617"/>
      <c r="D83" s="618"/>
      <c r="E83" s="617">
        <f>E77+E80+E81+E82</f>
        <v>110100</v>
      </c>
      <c r="F83" s="618"/>
      <c r="G83" s="646"/>
      <c r="H83" s="625"/>
      <c r="I83" s="626" t="e">
        <f t="shared" ref="I83:J83" si="73">#REF!</f>
        <v>#REF!</v>
      </c>
      <c r="J83" s="627" t="e">
        <f t="shared" si="73"/>
        <v>#REF!</v>
      </c>
      <c r="K83" s="647" t="e">
        <f t="shared" si="65"/>
        <v>#REF!</v>
      </c>
      <c r="M83" s="185"/>
    </row>
    <row r="84" spans="1:13" ht="17.25" customHeight="1">
      <c r="A84" s="582" t="s">
        <v>1250</v>
      </c>
      <c r="B84" s="285"/>
      <c r="C84" s="286"/>
      <c r="D84" s="286"/>
      <c r="E84" s="620"/>
      <c r="F84" s="584"/>
      <c r="G84" s="648"/>
      <c r="H84" s="596"/>
      <c r="I84" s="596"/>
      <c r="J84" s="597"/>
      <c r="K84" s="598"/>
    </row>
    <row r="85" spans="1:13" ht="12" customHeight="1">
      <c r="A85" s="608" t="s">
        <v>1251</v>
      </c>
      <c r="B85" s="603"/>
      <c r="C85" s="604"/>
      <c r="D85" s="604"/>
      <c r="E85" s="611">
        <v>0</v>
      </c>
      <c r="F85" s="584"/>
      <c r="G85" s="648"/>
      <c r="H85" s="596"/>
      <c r="I85" s="595" t="e">
        <f t="shared" ref="I85:J85" si="74">#REF!</f>
        <v>#REF!</v>
      </c>
      <c r="J85" s="601" t="e">
        <f t="shared" si="74"/>
        <v>#REF!</v>
      </c>
      <c r="K85" s="602" t="e">
        <f t="shared" ref="K85:K100" si="75">I85+J85</f>
        <v>#REF!</v>
      </c>
    </row>
    <row r="86" spans="1:13" ht="13.5" customHeight="1">
      <c r="A86" s="608" t="s">
        <v>1252</v>
      </c>
      <c r="B86" s="603"/>
      <c r="C86" s="604"/>
      <c r="D86" s="604"/>
      <c r="E86" s="611">
        <f>E87</f>
        <v>28800</v>
      </c>
      <c r="F86" s="584"/>
      <c r="G86" s="648"/>
      <c r="H86" s="596"/>
      <c r="I86" s="595" t="e">
        <f t="shared" ref="I86:J86" si="76">#REF!</f>
        <v>#REF!</v>
      </c>
      <c r="J86" s="601" t="e">
        <f t="shared" si="76"/>
        <v>#REF!</v>
      </c>
      <c r="K86" s="602" t="e">
        <f t="shared" si="75"/>
        <v>#REF!</v>
      </c>
    </row>
    <row r="87" spans="1:13" ht="13.5" customHeight="1">
      <c r="A87" s="589" t="s">
        <v>1253</v>
      </c>
      <c r="B87" s="590" t="s">
        <v>1165</v>
      </c>
      <c r="C87" s="591">
        <v>18</v>
      </c>
      <c r="D87" s="591">
        <v>1600</v>
      </c>
      <c r="E87" s="599">
        <f t="shared" ref="E87:E91" si="77">C87*D87</f>
        <v>28800</v>
      </c>
      <c r="F87" s="584"/>
      <c r="G87" s="648"/>
      <c r="H87" s="596"/>
      <c r="I87" s="595" t="e">
        <f t="shared" ref="I87:J87" si="78">#REF!</f>
        <v>#REF!</v>
      </c>
      <c r="J87" s="601" t="e">
        <f t="shared" si="78"/>
        <v>#REF!</v>
      </c>
      <c r="K87" s="602" t="e">
        <f t="shared" si="75"/>
        <v>#REF!</v>
      </c>
    </row>
    <row r="88" spans="1:13" ht="12.75" customHeight="1">
      <c r="A88" s="608" t="s">
        <v>861</v>
      </c>
      <c r="B88" s="603" t="s">
        <v>863</v>
      </c>
      <c r="C88" s="604">
        <v>3</v>
      </c>
      <c r="D88" s="604">
        <v>7000</v>
      </c>
      <c r="E88" s="611">
        <f t="shared" si="77"/>
        <v>21000</v>
      </c>
      <c r="F88" s="584"/>
      <c r="G88" s="648"/>
      <c r="H88" s="596"/>
      <c r="I88" s="595" t="e">
        <f t="shared" ref="I88:J88" si="79">#REF!</f>
        <v>#REF!</v>
      </c>
      <c r="J88" s="601" t="e">
        <f t="shared" si="79"/>
        <v>#REF!</v>
      </c>
      <c r="K88" s="602" t="e">
        <f t="shared" si="75"/>
        <v>#REF!</v>
      </c>
    </row>
    <row r="89" spans="1:13" ht="15.75" customHeight="1">
      <c r="A89" s="608" t="s">
        <v>864</v>
      </c>
      <c r="B89" s="603" t="s">
        <v>1166</v>
      </c>
      <c r="C89" s="604">
        <v>3</v>
      </c>
      <c r="D89" s="604">
        <v>15000</v>
      </c>
      <c r="E89" s="611">
        <f t="shared" si="77"/>
        <v>45000</v>
      </c>
      <c r="F89" s="584"/>
      <c r="G89" s="648"/>
      <c r="H89" s="596"/>
      <c r="I89" s="595" t="e">
        <f t="shared" ref="I89:J89" si="80">#REF!</f>
        <v>#REF!</v>
      </c>
      <c r="J89" s="601" t="e">
        <f t="shared" si="80"/>
        <v>#REF!</v>
      </c>
      <c r="K89" s="602" t="e">
        <f t="shared" si="75"/>
        <v>#REF!</v>
      </c>
    </row>
    <row r="90" spans="1:13" ht="15" customHeight="1">
      <c r="A90" s="608" t="s">
        <v>865</v>
      </c>
      <c r="B90" s="603" t="s">
        <v>1168</v>
      </c>
      <c r="C90" s="604">
        <v>60</v>
      </c>
      <c r="D90" s="604">
        <v>1100</v>
      </c>
      <c r="E90" s="611">
        <f t="shared" si="77"/>
        <v>66000</v>
      </c>
      <c r="F90" s="584"/>
      <c r="G90" s="648"/>
      <c r="H90" s="596"/>
      <c r="I90" s="595" t="e">
        <f t="shared" ref="I90:J90" si="81">#REF!</f>
        <v>#REF!</v>
      </c>
      <c r="J90" s="601" t="e">
        <f t="shared" si="81"/>
        <v>#REF!</v>
      </c>
      <c r="K90" s="602" t="e">
        <f t="shared" si="75"/>
        <v>#REF!</v>
      </c>
    </row>
    <row r="91" spans="1:13" ht="12" customHeight="1">
      <c r="A91" s="608" t="s">
        <v>871</v>
      </c>
      <c r="B91" s="603" t="s">
        <v>847</v>
      </c>
      <c r="C91" s="604">
        <v>3</v>
      </c>
      <c r="D91" s="604">
        <v>1000</v>
      </c>
      <c r="E91" s="611">
        <f t="shared" si="77"/>
        <v>3000</v>
      </c>
      <c r="F91" s="584"/>
      <c r="G91" s="648"/>
      <c r="H91" s="596"/>
      <c r="I91" s="595" t="e">
        <f t="shared" ref="I91:J91" si="82">#REF!</f>
        <v>#REF!</v>
      </c>
      <c r="J91" s="601" t="e">
        <f t="shared" si="82"/>
        <v>#REF!</v>
      </c>
      <c r="K91" s="602" t="e">
        <f t="shared" si="75"/>
        <v>#REF!</v>
      </c>
    </row>
    <row r="92" spans="1:13" ht="15.75" customHeight="1">
      <c r="A92" s="608" t="s">
        <v>1254</v>
      </c>
      <c r="B92" s="603" t="s">
        <v>1171</v>
      </c>
      <c r="C92" s="604">
        <f>SUM(C93:C98)</f>
        <v>13</v>
      </c>
      <c r="D92" s="604">
        <f>E92/C92</f>
        <v>5000</v>
      </c>
      <c r="E92" s="611">
        <f>SUM(E93:E98)</f>
        <v>65000</v>
      </c>
      <c r="F92" s="649"/>
      <c r="G92" s="648"/>
      <c r="H92" s="596"/>
      <c r="I92" s="595" t="e">
        <f t="shared" ref="I92:J92" si="83">#REF!</f>
        <v>#REF!</v>
      </c>
      <c r="J92" s="601" t="e">
        <f t="shared" si="83"/>
        <v>#REF!</v>
      </c>
      <c r="K92" s="602" t="e">
        <f t="shared" si="75"/>
        <v>#REF!</v>
      </c>
    </row>
    <row r="93" spans="1:13" ht="14.25" customHeight="1">
      <c r="A93" s="589" t="s">
        <v>1133</v>
      </c>
      <c r="B93" s="590" t="s">
        <v>1171</v>
      </c>
      <c r="C93" s="591">
        <v>2</v>
      </c>
      <c r="D93" s="591">
        <v>5000</v>
      </c>
      <c r="E93" s="599">
        <f t="shared" ref="E93:E99" si="84">C93*D93</f>
        <v>10000</v>
      </c>
      <c r="F93" s="584"/>
      <c r="G93" s="648"/>
      <c r="H93" s="596"/>
      <c r="I93" s="595" t="e">
        <f t="shared" ref="I93:J93" si="85">#REF!</f>
        <v>#REF!</v>
      </c>
      <c r="J93" s="601" t="e">
        <f t="shared" si="85"/>
        <v>#REF!</v>
      </c>
      <c r="K93" s="602" t="e">
        <f t="shared" si="75"/>
        <v>#REF!</v>
      </c>
    </row>
    <row r="94" spans="1:13" ht="12.75" customHeight="1">
      <c r="A94" s="589" t="s">
        <v>1172</v>
      </c>
      <c r="B94" s="590" t="s">
        <v>1171</v>
      </c>
      <c r="C94" s="591">
        <v>2</v>
      </c>
      <c r="D94" s="591">
        <v>5000</v>
      </c>
      <c r="E94" s="599">
        <f t="shared" si="84"/>
        <v>10000</v>
      </c>
      <c r="F94" s="584"/>
      <c r="G94" s="648"/>
      <c r="H94" s="596"/>
      <c r="I94" s="595" t="e">
        <f t="shared" ref="I94:J94" si="86">#REF!</f>
        <v>#REF!</v>
      </c>
      <c r="J94" s="601" t="e">
        <f t="shared" si="86"/>
        <v>#REF!</v>
      </c>
      <c r="K94" s="602" t="e">
        <f t="shared" si="75"/>
        <v>#REF!</v>
      </c>
    </row>
    <row r="95" spans="1:13" ht="14.25" customHeight="1">
      <c r="A95" s="589" t="s">
        <v>1173</v>
      </c>
      <c r="B95" s="590" t="s">
        <v>1171</v>
      </c>
      <c r="C95" s="591">
        <v>2</v>
      </c>
      <c r="D95" s="591">
        <v>5000</v>
      </c>
      <c r="E95" s="599">
        <f t="shared" si="84"/>
        <v>10000</v>
      </c>
      <c r="F95" s="584"/>
      <c r="G95" s="648"/>
      <c r="H95" s="596"/>
      <c r="I95" s="595" t="e">
        <f t="shared" ref="I95:J95" si="87">#REF!</f>
        <v>#REF!</v>
      </c>
      <c r="J95" s="601" t="e">
        <f t="shared" si="87"/>
        <v>#REF!</v>
      </c>
      <c r="K95" s="602" t="e">
        <f t="shared" si="75"/>
        <v>#REF!</v>
      </c>
    </row>
    <row r="96" spans="1:13" ht="13.5" customHeight="1">
      <c r="A96" s="589" t="s">
        <v>1174</v>
      </c>
      <c r="B96" s="590" t="s">
        <v>1171</v>
      </c>
      <c r="C96" s="591">
        <v>2</v>
      </c>
      <c r="D96" s="591">
        <v>5000</v>
      </c>
      <c r="E96" s="599">
        <f t="shared" si="84"/>
        <v>10000</v>
      </c>
      <c r="F96" s="584"/>
      <c r="G96" s="650"/>
      <c r="H96" s="595"/>
      <c r="I96" s="595" t="e">
        <f t="shared" ref="I96:J96" si="88">#REF!</f>
        <v>#REF!</v>
      </c>
      <c r="J96" s="601" t="e">
        <f t="shared" si="88"/>
        <v>#REF!</v>
      </c>
      <c r="K96" s="602" t="e">
        <f t="shared" si="75"/>
        <v>#REF!</v>
      </c>
    </row>
    <row r="97" spans="1:13" ht="15" customHeight="1">
      <c r="A97" s="589" t="s">
        <v>1175</v>
      </c>
      <c r="B97" s="590" t="s">
        <v>1171</v>
      </c>
      <c r="C97" s="591">
        <v>2</v>
      </c>
      <c r="D97" s="591">
        <v>5000</v>
      </c>
      <c r="E97" s="599">
        <f t="shared" si="84"/>
        <v>10000</v>
      </c>
      <c r="F97" s="584"/>
      <c r="G97" s="650"/>
      <c r="H97" s="595"/>
      <c r="I97" s="595" t="e">
        <f t="shared" ref="I97:J97" si="89">#REF!</f>
        <v>#REF!</v>
      </c>
      <c r="J97" s="601" t="e">
        <f t="shared" si="89"/>
        <v>#REF!</v>
      </c>
      <c r="K97" s="602" t="e">
        <f t="shared" si="75"/>
        <v>#REF!</v>
      </c>
    </row>
    <row r="98" spans="1:13" ht="12.75" customHeight="1">
      <c r="A98" s="589" t="s">
        <v>1139</v>
      </c>
      <c r="B98" s="590" t="s">
        <v>1171</v>
      </c>
      <c r="C98" s="591">
        <v>3</v>
      </c>
      <c r="D98" s="591">
        <v>5000</v>
      </c>
      <c r="E98" s="599">
        <f t="shared" si="84"/>
        <v>15000</v>
      </c>
      <c r="F98" s="584"/>
      <c r="G98" s="650"/>
      <c r="H98" s="595"/>
      <c r="I98" s="595" t="e">
        <f t="shared" ref="I98:J98" si="90">#REF!</f>
        <v>#REF!</v>
      </c>
      <c r="J98" s="601" t="e">
        <f t="shared" si="90"/>
        <v>#REF!</v>
      </c>
      <c r="K98" s="602" t="e">
        <f t="shared" si="75"/>
        <v>#REF!</v>
      </c>
    </row>
    <row r="99" spans="1:13" ht="12.75" customHeight="1">
      <c r="A99" s="608" t="s">
        <v>1255</v>
      </c>
      <c r="B99" s="603"/>
      <c r="C99" s="604">
        <v>3</v>
      </c>
      <c r="D99" s="604">
        <v>20000</v>
      </c>
      <c r="E99" s="611">
        <f t="shared" si="84"/>
        <v>60000</v>
      </c>
      <c r="F99" s="584"/>
      <c r="G99" s="650"/>
      <c r="H99" s="595"/>
      <c r="I99" s="595" t="e">
        <f t="shared" ref="I99:J99" si="91">#REF!</f>
        <v>#REF!</v>
      </c>
      <c r="J99" s="601" t="e">
        <f t="shared" si="91"/>
        <v>#REF!</v>
      </c>
      <c r="K99" s="602" t="e">
        <f t="shared" si="75"/>
        <v>#REF!</v>
      </c>
    </row>
    <row r="100" spans="1:13" ht="15.75" customHeight="1">
      <c r="A100" s="615" t="s">
        <v>910</v>
      </c>
      <c r="B100" s="651"/>
      <c r="C100" s="617"/>
      <c r="D100" s="618"/>
      <c r="E100" s="617">
        <f>E85+E86+E88+E89+E90+E91+E92+E99</f>
        <v>288800</v>
      </c>
      <c r="F100" s="618"/>
      <c r="G100" s="652"/>
      <c r="H100" s="625"/>
      <c r="I100" s="626" t="e">
        <f t="shared" ref="I100:J100" si="92">#REF!</f>
        <v>#REF!</v>
      </c>
      <c r="J100" s="627" t="e">
        <f t="shared" si="92"/>
        <v>#REF!</v>
      </c>
      <c r="K100" s="647" t="e">
        <f t="shared" si="75"/>
        <v>#REF!</v>
      </c>
      <c r="M100" s="185"/>
    </row>
    <row r="101" spans="1:13" ht="15.75" customHeight="1">
      <c r="A101" s="653" t="s">
        <v>878</v>
      </c>
      <c r="B101" s="654"/>
      <c r="C101" s="655">
        <f>SUM(C102:C104)</f>
        <v>20</v>
      </c>
      <c r="D101" s="655">
        <f>E101/C101</f>
        <v>2000</v>
      </c>
      <c r="E101" s="609">
        <f>SUM(E102:E104)</f>
        <v>40000</v>
      </c>
      <c r="F101" s="632"/>
      <c r="G101" s="656"/>
      <c r="H101" s="657"/>
      <c r="I101" s="657"/>
      <c r="J101" s="658"/>
      <c r="K101" s="602"/>
    </row>
    <row r="102" spans="1:13" ht="14.25" customHeight="1">
      <c r="A102" s="589" t="s">
        <v>1177</v>
      </c>
      <c r="B102" s="590" t="s">
        <v>1178</v>
      </c>
      <c r="C102" s="591">
        <v>20</v>
      </c>
      <c r="D102" s="591">
        <v>2000</v>
      </c>
      <c r="E102" s="599">
        <f t="shared" ref="E102:E104" si="93">C102*D102</f>
        <v>40000</v>
      </c>
      <c r="F102" s="632"/>
      <c r="G102" s="656"/>
      <c r="H102" s="658"/>
      <c r="I102" s="601" t="e">
        <f t="shared" ref="I102:J102" si="94">#REF!</f>
        <v>#REF!</v>
      </c>
      <c r="J102" s="601" t="e">
        <f t="shared" si="94"/>
        <v>#REF!</v>
      </c>
      <c r="K102" s="602" t="e">
        <f t="shared" ref="K102:K110" si="95">I102+J102</f>
        <v>#REF!</v>
      </c>
    </row>
    <row r="103" spans="1:13" ht="12.75" customHeight="1">
      <c r="A103" s="589" t="s">
        <v>1179</v>
      </c>
      <c r="B103" s="590"/>
      <c r="C103" s="591">
        <v>0</v>
      </c>
      <c r="D103" s="591">
        <v>0</v>
      </c>
      <c r="E103" s="599">
        <f t="shared" si="93"/>
        <v>0</v>
      </c>
      <c r="F103" s="632"/>
      <c r="G103" s="656"/>
      <c r="H103" s="658"/>
      <c r="I103" s="601" t="e">
        <f t="shared" ref="I103:J103" si="96">#REF!</f>
        <v>#REF!</v>
      </c>
      <c r="J103" s="601" t="e">
        <f t="shared" si="96"/>
        <v>#REF!</v>
      </c>
      <c r="K103" s="602" t="e">
        <f t="shared" si="95"/>
        <v>#REF!</v>
      </c>
    </row>
    <row r="104" spans="1:13" ht="17.25" customHeight="1">
      <c r="A104" s="589" t="s">
        <v>1180</v>
      </c>
      <c r="B104" s="590"/>
      <c r="C104" s="591">
        <v>0</v>
      </c>
      <c r="D104" s="591">
        <v>0</v>
      </c>
      <c r="E104" s="599">
        <f t="shared" si="93"/>
        <v>0</v>
      </c>
      <c r="F104" s="632"/>
      <c r="G104" s="656"/>
      <c r="H104" s="658"/>
      <c r="I104" s="601" t="e">
        <f t="shared" ref="I104:J104" si="97">#REF!</f>
        <v>#REF!</v>
      </c>
      <c r="J104" s="601" t="e">
        <f t="shared" si="97"/>
        <v>#REF!</v>
      </c>
      <c r="K104" s="602" t="e">
        <f t="shared" si="95"/>
        <v>#REF!</v>
      </c>
    </row>
    <row r="105" spans="1:13" ht="14.25" customHeight="1">
      <c r="A105" s="615" t="s">
        <v>882</v>
      </c>
      <c r="B105" s="651"/>
      <c r="C105" s="617"/>
      <c r="D105" s="618"/>
      <c r="E105" s="617">
        <f>E101</f>
        <v>40000</v>
      </c>
      <c r="F105" s="607"/>
      <c r="G105" s="652"/>
      <c r="H105" s="625"/>
      <c r="I105" s="627" t="e">
        <f t="shared" ref="I105:J105" si="98">#REF!</f>
        <v>#REF!</v>
      </c>
      <c r="J105" s="627" t="e">
        <f t="shared" si="98"/>
        <v>#REF!</v>
      </c>
      <c r="K105" s="619" t="e">
        <f t="shared" si="95"/>
        <v>#REF!</v>
      </c>
      <c r="M105" s="185"/>
    </row>
    <row r="106" spans="1:13" ht="13.5" customHeight="1">
      <c r="A106" s="659" t="s">
        <v>1256</v>
      </c>
      <c r="B106" s="660"/>
      <c r="C106" s="661"/>
      <c r="D106" s="662"/>
      <c r="E106" s="663">
        <f>E45+E62+E75+E83+E100+E105</f>
        <v>2156950</v>
      </c>
      <c r="F106" s="663"/>
      <c r="G106" s="664"/>
      <c r="H106" s="665"/>
      <c r="I106" s="627" t="e">
        <f t="shared" ref="I106:J106" si="99">#REF!</f>
        <v>#REF!</v>
      </c>
      <c r="J106" s="627" t="e">
        <f t="shared" si="99"/>
        <v>#REF!</v>
      </c>
      <c r="K106" s="666" t="e">
        <f t="shared" si="95"/>
        <v>#REF!</v>
      </c>
      <c r="M106" s="185"/>
    </row>
    <row r="107" spans="1:13" ht="25.5" customHeight="1">
      <c r="A107" s="667" t="s">
        <v>1181</v>
      </c>
      <c r="B107" s="668"/>
      <c r="C107" s="669"/>
      <c r="D107" s="670"/>
      <c r="E107" s="671">
        <f>E106*5%</f>
        <v>107847.5</v>
      </c>
      <c r="F107" s="672"/>
      <c r="G107" s="673"/>
      <c r="H107" s="674"/>
      <c r="I107" s="627" t="e">
        <f t="shared" ref="I107:I110" si="100">#REF!</f>
        <v>#REF!</v>
      </c>
      <c r="J107" s="675">
        <f>0</f>
        <v>0</v>
      </c>
      <c r="K107" s="676" t="e">
        <f t="shared" si="95"/>
        <v>#REF!</v>
      </c>
      <c r="M107" s="185"/>
    </row>
    <row r="108" spans="1:13" ht="18.75" customHeight="1">
      <c r="A108" s="677" t="s">
        <v>1257</v>
      </c>
      <c r="B108" s="678"/>
      <c r="C108" s="679"/>
      <c r="D108" s="680"/>
      <c r="E108" s="679">
        <f>E106+E107</f>
        <v>2264797.5</v>
      </c>
      <c r="F108" s="679"/>
      <c r="G108" s="681"/>
      <c r="H108" s="682"/>
      <c r="I108" s="627" t="e">
        <f t="shared" si="100"/>
        <v>#REF!</v>
      </c>
      <c r="J108" s="683" t="e">
        <f>J106+J107</f>
        <v>#REF!</v>
      </c>
      <c r="K108" s="666" t="e">
        <f t="shared" si="95"/>
        <v>#REF!</v>
      </c>
      <c r="M108" s="185"/>
    </row>
    <row r="109" spans="1:13" ht="25.5" customHeight="1">
      <c r="A109" s="667" t="s">
        <v>1258</v>
      </c>
      <c r="B109" s="684"/>
      <c r="C109" s="669"/>
      <c r="D109" s="670"/>
      <c r="E109" s="671">
        <f>E108*0.068993</f>
        <v>156255.17391750001</v>
      </c>
      <c r="F109" s="685"/>
      <c r="G109" s="686"/>
      <c r="H109" s="674"/>
      <c r="I109" s="627" t="e">
        <f t="shared" si="100"/>
        <v>#REF!</v>
      </c>
      <c r="J109" s="675" t="e">
        <f>#REF!</f>
        <v>#REF!</v>
      </c>
      <c r="K109" s="676" t="e">
        <f t="shared" si="95"/>
        <v>#REF!</v>
      </c>
    </row>
    <row r="110" spans="1:13" ht="12.75" customHeight="1">
      <c r="A110" s="687" t="s">
        <v>887</v>
      </c>
      <c r="B110" s="688"/>
      <c r="C110" s="679"/>
      <c r="D110" s="680"/>
      <c r="E110" s="679">
        <f>E108+E109</f>
        <v>2421052.6739174998</v>
      </c>
      <c r="F110" s="679"/>
      <c r="G110" s="689"/>
      <c r="H110" s="682"/>
      <c r="I110" s="627" t="e">
        <f t="shared" si="100"/>
        <v>#REF!</v>
      </c>
      <c r="J110" s="683" t="e">
        <f>J108+J109</f>
        <v>#REF!</v>
      </c>
      <c r="K110" s="666" t="e">
        <f t="shared" si="95"/>
        <v>#REF!</v>
      </c>
      <c r="M110" s="185"/>
    </row>
    <row r="111" spans="1:13" ht="18" customHeight="1">
      <c r="A111" s="690" t="s">
        <v>1259</v>
      </c>
      <c r="B111" s="691"/>
      <c r="C111" s="692"/>
      <c r="D111" s="693"/>
      <c r="E111" s="694"/>
      <c r="F111" s="695"/>
      <c r="G111" s="696"/>
      <c r="H111" s="697"/>
      <c r="I111" s="626"/>
      <c r="J111" s="698"/>
      <c r="K111" s="699"/>
    </row>
    <row r="112" spans="1:13" ht="14.25" customHeight="1">
      <c r="A112" s="700" t="s">
        <v>1260</v>
      </c>
      <c r="B112" s="701"/>
      <c r="C112" s="702"/>
      <c r="D112" s="703"/>
      <c r="E112" s="704">
        <f>E110+E111</f>
        <v>2421052.6739174998</v>
      </c>
      <c r="F112" s="704"/>
      <c r="G112" s="705"/>
      <c r="H112" s="706"/>
      <c r="I112" s="626" t="e">
        <f t="shared" ref="I112:J112" si="101">I110+I111</f>
        <v>#REF!</v>
      </c>
      <c r="J112" s="707" t="e">
        <f t="shared" si="101"/>
        <v>#REF!</v>
      </c>
      <c r="K112" s="708" t="e">
        <f>I112+J112</f>
        <v>#REF!</v>
      </c>
      <c r="M112" s="185"/>
    </row>
    <row r="113" spans="1:11" ht="15.75" customHeight="1">
      <c r="A113" s="709" t="s">
        <v>1261</v>
      </c>
      <c r="B113" s="710"/>
      <c r="C113" s="710"/>
      <c r="D113" s="710"/>
      <c r="E113" s="710"/>
      <c r="F113" s="710"/>
      <c r="G113" s="710"/>
      <c r="H113" s="710"/>
      <c r="I113" s="710"/>
      <c r="J113" s="710"/>
      <c r="K113" s="710"/>
    </row>
    <row r="114" spans="1:11" ht="23.25" customHeight="1">
      <c r="A114" s="1049" t="s">
        <v>1262</v>
      </c>
      <c r="B114" s="942"/>
      <c r="C114" s="942"/>
      <c r="D114" s="942"/>
      <c r="E114" s="942"/>
      <c r="F114" s="942"/>
      <c r="G114" s="942"/>
      <c r="H114" s="942"/>
      <c r="I114" s="942"/>
      <c r="J114" s="942"/>
      <c r="K114" s="942"/>
    </row>
    <row r="115" spans="1:11" ht="26.25" customHeight="1">
      <c r="A115" s="1049" t="s">
        <v>1263</v>
      </c>
      <c r="B115" s="942"/>
      <c r="C115" s="942"/>
      <c r="D115" s="942"/>
      <c r="E115" s="942"/>
      <c r="F115" s="942"/>
      <c r="G115" s="942"/>
      <c r="H115" s="942"/>
      <c r="I115" s="942"/>
      <c r="J115" s="942"/>
      <c r="K115" s="942"/>
    </row>
    <row r="116" spans="1:11" ht="15.75" customHeight="1">
      <c r="A116" s="710" t="s">
        <v>1032</v>
      </c>
      <c r="B116" s="710"/>
      <c r="C116" s="710"/>
      <c r="D116" s="710"/>
      <c r="E116" s="710"/>
      <c r="F116" s="710"/>
      <c r="G116" s="710"/>
      <c r="H116" s="710"/>
      <c r="I116" s="710" t="s">
        <v>1033</v>
      </c>
      <c r="J116" s="710"/>
      <c r="K116" s="710"/>
    </row>
    <row r="117" spans="1:11" ht="15.75" customHeight="1">
      <c r="A117" s="710"/>
      <c r="B117" s="710"/>
      <c r="C117" s="710"/>
      <c r="D117" s="710"/>
      <c r="E117" s="710"/>
      <c r="F117" s="710"/>
      <c r="G117" s="710"/>
      <c r="H117" s="710"/>
      <c r="I117" s="710"/>
      <c r="J117" s="710"/>
      <c r="K117" s="710"/>
    </row>
    <row r="118" spans="1:11" ht="19.5" customHeight="1">
      <c r="A118" s="710" t="s">
        <v>149</v>
      </c>
      <c r="B118" s="710"/>
      <c r="C118" s="710"/>
      <c r="D118" s="710"/>
      <c r="E118" s="710"/>
      <c r="F118" s="710"/>
      <c r="G118" s="710"/>
      <c r="H118" s="710"/>
      <c r="I118" s="710" t="s">
        <v>1034</v>
      </c>
      <c r="J118" s="710"/>
      <c r="K118" s="711"/>
    </row>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15:K115"/>
    <mergeCell ref="B1:F1"/>
    <mergeCell ref="B2:I2"/>
    <mergeCell ref="B4:E4"/>
    <mergeCell ref="G4:K4"/>
    <mergeCell ref="A114:K114"/>
  </mergeCells>
  <pageMargins left="0" right="0" top="0.74803149606299213" bottom="0.74803149606299213" header="0" footer="0"/>
  <pageSetup paperSize="9" scale="9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00"/>
  <sheetViews>
    <sheetView workbookViewId="0"/>
  </sheetViews>
  <sheetFormatPr defaultColWidth="14.42578125" defaultRowHeight="15" customHeight="1"/>
  <cols>
    <col min="1" max="1" width="8.7109375" customWidth="1"/>
    <col min="2" max="2" width="22" customWidth="1"/>
    <col min="3" max="3" width="30.85546875" customWidth="1"/>
    <col min="4" max="4" width="10.140625" customWidth="1"/>
    <col min="5" max="5" width="12.28515625" customWidth="1"/>
    <col min="6" max="6" width="13.85546875" customWidth="1"/>
    <col min="7" max="7" width="13.28515625" customWidth="1"/>
    <col min="8" max="8" width="24" customWidth="1"/>
    <col min="9" max="9" width="12.5703125" customWidth="1"/>
    <col min="10" max="26" width="10.7109375" customWidth="1"/>
  </cols>
  <sheetData>
    <row r="1" spans="1:9">
      <c r="A1" s="1"/>
      <c r="B1" s="2"/>
      <c r="C1" s="2"/>
      <c r="D1" s="2"/>
      <c r="E1" s="2"/>
      <c r="F1" s="2"/>
      <c r="G1" s="2"/>
      <c r="H1" s="3"/>
    </row>
    <row r="2" spans="1:9">
      <c r="A2" s="4"/>
      <c r="B2" s="5"/>
      <c r="C2" s="5"/>
      <c r="D2" s="5"/>
      <c r="E2" s="5"/>
      <c r="F2" s="5"/>
      <c r="G2" s="5"/>
      <c r="H2" s="6"/>
    </row>
    <row r="3" spans="1:9">
      <c r="A3" s="4"/>
      <c r="B3" s="5"/>
      <c r="C3" s="5"/>
      <c r="D3" s="5"/>
      <c r="E3" s="5"/>
      <c r="F3" s="5"/>
      <c r="G3" s="5"/>
      <c r="H3" s="6"/>
    </row>
    <row r="4" spans="1:9">
      <c r="A4" s="4"/>
      <c r="B4" s="5"/>
      <c r="C4" s="5"/>
      <c r="D4" s="5"/>
      <c r="E4" s="5"/>
      <c r="F4" s="5"/>
      <c r="G4" s="5"/>
      <c r="H4" s="6"/>
    </row>
    <row r="5" spans="1:9">
      <c r="A5" s="7" t="s">
        <v>0</v>
      </c>
      <c r="B5" s="8"/>
      <c r="C5" s="8"/>
      <c r="D5" s="9"/>
      <c r="E5" s="9"/>
      <c r="F5" s="9"/>
      <c r="G5" s="9"/>
      <c r="H5" s="10"/>
      <c r="I5" s="11"/>
    </row>
    <row r="6" spans="1:9">
      <c r="A6" s="7" t="s">
        <v>1</v>
      </c>
      <c r="B6" s="8"/>
      <c r="C6" s="8"/>
      <c r="D6" s="9"/>
      <c r="E6" s="9"/>
      <c r="F6" s="9"/>
      <c r="G6" s="9"/>
      <c r="H6" s="10"/>
      <c r="I6" s="11"/>
    </row>
    <row r="7" spans="1:9" ht="15.75">
      <c r="A7" s="972" t="s">
        <v>347</v>
      </c>
      <c r="B7" s="965"/>
      <c r="C7" s="965"/>
      <c r="D7" s="965"/>
      <c r="E7" s="965"/>
      <c r="F7" s="965"/>
      <c r="G7" s="965"/>
      <c r="H7" s="966"/>
      <c r="I7" s="11"/>
    </row>
    <row r="8" spans="1:9" ht="15.75">
      <c r="A8" s="972" t="s">
        <v>348</v>
      </c>
      <c r="B8" s="965"/>
      <c r="C8" s="965"/>
      <c r="D8" s="965"/>
      <c r="E8" s="965"/>
      <c r="F8" s="965"/>
      <c r="G8" s="965"/>
      <c r="H8" s="966"/>
      <c r="I8" s="11"/>
    </row>
    <row r="9" spans="1:9" ht="31.5" customHeight="1">
      <c r="A9" s="967" t="s">
        <v>4</v>
      </c>
      <c r="B9" s="969" t="s">
        <v>5</v>
      </c>
      <c r="C9" s="971" t="s">
        <v>6</v>
      </c>
      <c r="D9" s="969" t="s">
        <v>7</v>
      </c>
      <c r="E9" s="969" t="s">
        <v>349</v>
      </c>
      <c r="F9" s="961" t="s">
        <v>350</v>
      </c>
      <c r="G9" s="958"/>
      <c r="H9" s="962" t="s">
        <v>10</v>
      </c>
      <c r="I9" s="11"/>
    </row>
    <row r="10" spans="1:9" ht="26.25" customHeight="1">
      <c r="A10" s="968"/>
      <c r="B10" s="970"/>
      <c r="C10" s="970"/>
      <c r="D10" s="970"/>
      <c r="E10" s="970"/>
      <c r="F10" s="128" t="s">
        <v>351</v>
      </c>
      <c r="G10" s="128" t="s">
        <v>352</v>
      </c>
      <c r="H10" s="963"/>
      <c r="I10" s="11"/>
    </row>
    <row r="11" spans="1:9" ht="17.25" customHeight="1">
      <c r="A11" s="13"/>
      <c r="B11" s="973" t="s">
        <v>353</v>
      </c>
      <c r="C11" s="935"/>
      <c r="D11" s="935"/>
      <c r="E11" s="958"/>
      <c r="F11" s="12"/>
      <c r="G11" s="12"/>
      <c r="H11" s="14"/>
      <c r="I11" s="11"/>
    </row>
    <row r="12" spans="1:9" ht="26.25">
      <c r="A12" s="15">
        <v>44286</v>
      </c>
      <c r="B12" s="21" t="s">
        <v>16</v>
      </c>
      <c r="C12" s="22" t="s">
        <v>17</v>
      </c>
      <c r="D12" s="23" t="s">
        <v>18</v>
      </c>
      <c r="E12" s="24" t="s">
        <v>19</v>
      </c>
      <c r="F12" s="19">
        <f t="shared" ref="F12:F14" si="0">6000+1080</f>
        <v>7080</v>
      </c>
      <c r="G12" s="19">
        <f t="shared" ref="G12:G86" si="1">F12/655.957</f>
        <v>10.793390420408654</v>
      </c>
      <c r="H12" s="20" t="s">
        <v>20</v>
      </c>
      <c r="I12" s="11"/>
    </row>
    <row r="13" spans="1:9" ht="26.25">
      <c r="A13" s="15">
        <v>44316</v>
      </c>
      <c r="B13" s="21" t="s">
        <v>16</v>
      </c>
      <c r="C13" s="22" t="s">
        <v>21</v>
      </c>
      <c r="D13" s="23" t="s">
        <v>22</v>
      </c>
      <c r="E13" s="24" t="s">
        <v>19</v>
      </c>
      <c r="F13" s="19">
        <f t="shared" si="0"/>
        <v>7080</v>
      </c>
      <c r="G13" s="19">
        <f t="shared" si="1"/>
        <v>10.793390420408654</v>
      </c>
      <c r="H13" s="20" t="s">
        <v>20</v>
      </c>
      <c r="I13" s="11"/>
    </row>
    <row r="14" spans="1:9" ht="26.25">
      <c r="A14" s="15">
        <v>44347</v>
      </c>
      <c r="B14" s="21" t="s">
        <v>16</v>
      </c>
      <c r="C14" s="22" t="s">
        <v>27</v>
      </c>
      <c r="D14" s="28" t="s">
        <v>28</v>
      </c>
      <c r="E14" s="24" t="s">
        <v>19</v>
      </c>
      <c r="F14" s="19">
        <f t="shared" si="0"/>
        <v>7080</v>
      </c>
      <c r="G14" s="19">
        <f t="shared" si="1"/>
        <v>10.793390420408654</v>
      </c>
      <c r="H14" s="20" t="s">
        <v>20</v>
      </c>
      <c r="I14" s="11"/>
    </row>
    <row r="15" spans="1:9" ht="26.25">
      <c r="A15" s="15">
        <v>44377</v>
      </c>
      <c r="B15" s="21" t="s">
        <v>16</v>
      </c>
      <c r="C15" s="22" t="s">
        <v>29</v>
      </c>
      <c r="D15" s="28" t="s">
        <v>30</v>
      </c>
      <c r="E15" s="24" t="s">
        <v>19</v>
      </c>
      <c r="F15" s="19">
        <f>6000+1080+108+19</f>
        <v>7207</v>
      </c>
      <c r="G15" s="19">
        <f t="shared" si="1"/>
        <v>10.987000672300166</v>
      </c>
      <c r="H15" s="20" t="s">
        <v>20</v>
      </c>
      <c r="I15" s="11"/>
    </row>
    <row r="16" spans="1:9" ht="26.25">
      <c r="A16" s="25">
        <v>44393</v>
      </c>
      <c r="B16" s="33" t="s">
        <v>31</v>
      </c>
      <c r="C16" s="34" t="s">
        <v>354</v>
      </c>
      <c r="D16" s="28" t="s">
        <v>33</v>
      </c>
      <c r="E16" s="24">
        <v>9678890</v>
      </c>
      <c r="F16" s="35">
        <f t="shared" ref="F16:F19" si="2">600000</f>
        <v>600000</v>
      </c>
      <c r="G16" s="19">
        <f t="shared" si="1"/>
        <v>914.69410342446224</v>
      </c>
      <c r="H16" s="36" t="s">
        <v>34</v>
      </c>
      <c r="I16" s="11"/>
    </row>
    <row r="17" spans="1:9" ht="26.25">
      <c r="A17" s="25">
        <v>44393</v>
      </c>
      <c r="B17" s="37" t="s">
        <v>35</v>
      </c>
      <c r="C17" s="34" t="s">
        <v>355</v>
      </c>
      <c r="D17" s="28" t="s">
        <v>37</v>
      </c>
      <c r="E17" s="29">
        <v>9678891</v>
      </c>
      <c r="F17" s="39">
        <f t="shared" si="2"/>
        <v>600000</v>
      </c>
      <c r="G17" s="19">
        <f t="shared" si="1"/>
        <v>914.69410342446224</v>
      </c>
      <c r="H17" s="36" t="s">
        <v>34</v>
      </c>
      <c r="I17" s="11"/>
    </row>
    <row r="18" spans="1:9" ht="26.25">
      <c r="A18" s="25">
        <v>44393</v>
      </c>
      <c r="B18" s="40" t="s">
        <v>38</v>
      </c>
      <c r="C18" s="34" t="s">
        <v>356</v>
      </c>
      <c r="D18" s="28" t="s">
        <v>40</v>
      </c>
      <c r="E18" s="29">
        <v>9678892</v>
      </c>
      <c r="F18" s="39">
        <f t="shared" si="2"/>
        <v>600000</v>
      </c>
      <c r="G18" s="19">
        <f t="shared" si="1"/>
        <v>914.69410342446224</v>
      </c>
      <c r="H18" s="41" t="s">
        <v>41</v>
      </c>
      <c r="I18" s="11"/>
    </row>
    <row r="19" spans="1:9" ht="26.25">
      <c r="A19" s="25">
        <v>44393</v>
      </c>
      <c r="B19" s="37" t="s">
        <v>42</v>
      </c>
      <c r="C19" s="34" t="s">
        <v>43</v>
      </c>
      <c r="D19" s="28" t="s">
        <v>44</v>
      </c>
      <c r="E19" s="29">
        <v>9678893</v>
      </c>
      <c r="F19" s="39">
        <f t="shared" si="2"/>
        <v>600000</v>
      </c>
      <c r="G19" s="19">
        <f t="shared" si="1"/>
        <v>914.69410342446224</v>
      </c>
      <c r="H19" s="41" t="s">
        <v>45</v>
      </c>
      <c r="I19" s="11"/>
    </row>
    <row r="20" spans="1:9" ht="26.25">
      <c r="A20" s="15">
        <v>44407</v>
      </c>
      <c r="B20" s="21" t="s">
        <v>16</v>
      </c>
      <c r="C20" s="22" t="s">
        <v>47</v>
      </c>
      <c r="D20" s="28" t="s">
        <v>48</v>
      </c>
      <c r="E20" s="24" t="s">
        <v>19</v>
      </c>
      <c r="F20" s="19">
        <f>6000+1080</f>
        <v>7080</v>
      </c>
      <c r="G20" s="19">
        <f t="shared" si="1"/>
        <v>10.793390420408654</v>
      </c>
      <c r="H20" s="20" t="s">
        <v>20</v>
      </c>
      <c r="I20" s="11"/>
    </row>
    <row r="21" spans="1:9" ht="15.75" customHeight="1">
      <c r="A21" s="25">
        <v>44412</v>
      </c>
      <c r="B21" s="37" t="s">
        <v>42</v>
      </c>
      <c r="C21" s="45" t="s">
        <v>357</v>
      </c>
      <c r="D21" s="28" t="s">
        <v>50</v>
      </c>
      <c r="E21" s="29" t="s">
        <v>26</v>
      </c>
      <c r="F21" s="39">
        <f>1214765</f>
        <v>1214765</v>
      </c>
      <c r="G21" s="19">
        <f t="shared" si="1"/>
        <v>1851.8973042440282</v>
      </c>
      <c r="H21" s="41" t="s">
        <v>45</v>
      </c>
      <c r="I21" s="11"/>
    </row>
    <row r="22" spans="1:9" ht="15.75" customHeight="1">
      <c r="A22" s="25">
        <v>44412</v>
      </c>
      <c r="B22" s="37" t="s">
        <v>35</v>
      </c>
      <c r="C22" s="45" t="s">
        <v>358</v>
      </c>
      <c r="D22" s="28" t="s">
        <v>52</v>
      </c>
      <c r="E22" s="29" t="s">
        <v>26</v>
      </c>
      <c r="F22" s="39">
        <f>1229765</f>
        <v>1229765</v>
      </c>
      <c r="G22" s="19">
        <f t="shared" si="1"/>
        <v>1874.7646568296398</v>
      </c>
      <c r="H22" s="36" t="s">
        <v>34</v>
      </c>
      <c r="I22" s="11"/>
    </row>
    <row r="23" spans="1:9" ht="15.75" customHeight="1">
      <c r="A23" s="25">
        <v>44412</v>
      </c>
      <c r="B23" s="40" t="s">
        <v>38</v>
      </c>
      <c r="C23" s="45" t="s">
        <v>359</v>
      </c>
      <c r="D23" s="28" t="s">
        <v>52</v>
      </c>
      <c r="E23" s="29" t="s">
        <v>26</v>
      </c>
      <c r="F23" s="39">
        <f>1224765</f>
        <v>1224765</v>
      </c>
      <c r="G23" s="19">
        <f t="shared" si="1"/>
        <v>1867.1422059677693</v>
      </c>
      <c r="H23" s="41" t="s">
        <v>41</v>
      </c>
      <c r="I23" s="11"/>
    </row>
    <row r="24" spans="1:9" ht="15.75" customHeight="1">
      <c r="A24" s="47">
        <v>44412</v>
      </c>
      <c r="B24" s="48" t="s">
        <v>31</v>
      </c>
      <c r="C24" s="49" t="s">
        <v>360</v>
      </c>
      <c r="D24" s="28" t="s">
        <v>52</v>
      </c>
      <c r="E24" s="50" t="s">
        <v>26</v>
      </c>
      <c r="F24" s="39">
        <f>1214765</f>
        <v>1214765</v>
      </c>
      <c r="G24" s="19">
        <f t="shared" si="1"/>
        <v>1851.8973042440282</v>
      </c>
      <c r="H24" s="36" t="s">
        <v>34</v>
      </c>
      <c r="I24" s="11"/>
    </row>
    <row r="25" spans="1:9" ht="15.75" customHeight="1">
      <c r="A25" s="47">
        <v>44439</v>
      </c>
      <c r="B25" s="37" t="s">
        <v>35</v>
      </c>
      <c r="C25" s="49" t="s">
        <v>55</v>
      </c>
      <c r="D25" s="28" t="s">
        <v>56</v>
      </c>
      <c r="E25" s="50" t="s">
        <v>26</v>
      </c>
      <c r="F25" s="39">
        <f t="shared" ref="F25:F27" si="3">2737241</f>
        <v>2737241</v>
      </c>
      <c r="G25" s="19">
        <f t="shared" si="1"/>
        <v>4172.8970039194646</v>
      </c>
      <c r="H25" s="36" t="s">
        <v>34</v>
      </c>
      <c r="I25" s="11"/>
    </row>
    <row r="26" spans="1:9" ht="15.75" customHeight="1">
      <c r="A26" s="47">
        <v>44439</v>
      </c>
      <c r="B26" s="40" t="s">
        <v>38</v>
      </c>
      <c r="C26" s="49" t="s">
        <v>55</v>
      </c>
      <c r="D26" s="28" t="s">
        <v>56</v>
      </c>
      <c r="E26" s="50" t="s">
        <v>26</v>
      </c>
      <c r="F26" s="39">
        <f t="shared" si="3"/>
        <v>2737241</v>
      </c>
      <c r="G26" s="19">
        <f t="shared" si="1"/>
        <v>4172.8970039194646</v>
      </c>
      <c r="H26" s="41" t="s">
        <v>41</v>
      </c>
      <c r="I26" s="11"/>
    </row>
    <row r="27" spans="1:9" ht="15.75" customHeight="1">
      <c r="A27" s="47">
        <v>44439</v>
      </c>
      <c r="B27" s="48" t="s">
        <v>31</v>
      </c>
      <c r="C27" s="49" t="s">
        <v>55</v>
      </c>
      <c r="D27" s="28" t="s">
        <v>56</v>
      </c>
      <c r="E27" s="50" t="s">
        <v>26</v>
      </c>
      <c r="F27" s="39">
        <f t="shared" si="3"/>
        <v>2737241</v>
      </c>
      <c r="G27" s="19">
        <f t="shared" si="1"/>
        <v>4172.8970039194646</v>
      </c>
      <c r="H27" s="36" t="s">
        <v>34</v>
      </c>
      <c r="I27" s="11"/>
    </row>
    <row r="28" spans="1:9" ht="15.75" customHeight="1">
      <c r="A28" s="47">
        <v>44439</v>
      </c>
      <c r="B28" s="37" t="s">
        <v>42</v>
      </c>
      <c r="C28" s="49" t="s">
        <v>55</v>
      </c>
      <c r="D28" s="28" t="s">
        <v>56</v>
      </c>
      <c r="E28" s="50" t="s">
        <v>26</v>
      </c>
      <c r="F28" s="39">
        <f>1737871</f>
        <v>1737871</v>
      </c>
      <c r="G28" s="19">
        <f t="shared" si="1"/>
        <v>2649.3672603539562</v>
      </c>
      <c r="H28" s="41" t="s">
        <v>45</v>
      </c>
      <c r="I28" s="11"/>
    </row>
    <row r="29" spans="1:9" ht="15.75" customHeight="1">
      <c r="A29" s="47">
        <v>44439</v>
      </c>
      <c r="B29" s="37" t="s">
        <v>35</v>
      </c>
      <c r="C29" s="49" t="s">
        <v>57</v>
      </c>
      <c r="D29" s="28" t="s">
        <v>58</v>
      </c>
      <c r="E29" s="50" t="s">
        <v>26</v>
      </c>
      <c r="F29" s="39">
        <f t="shared" ref="F29:F31" si="4">2737241</f>
        <v>2737241</v>
      </c>
      <c r="G29" s="19">
        <f t="shared" si="1"/>
        <v>4172.8970039194646</v>
      </c>
      <c r="H29" s="36" t="s">
        <v>34</v>
      </c>
      <c r="I29" s="11"/>
    </row>
    <row r="30" spans="1:9" ht="15.75" customHeight="1">
      <c r="A30" s="47">
        <v>44439</v>
      </c>
      <c r="B30" s="40" t="s">
        <v>38</v>
      </c>
      <c r="C30" s="49" t="s">
        <v>57</v>
      </c>
      <c r="D30" s="28" t="s">
        <v>58</v>
      </c>
      <c r="E30" s="50" t="s">
        <v>26</v>
      </c>
      <c r="F30" s="39">
        <f t="shared" si="4"/>
        <v>2737241</v>
      </c>
      <c r="G30" s="19">
        <f t="shared" si="1"/>
        <v>4172.8970039194646</v>
      </c>
      <c r="H30" s="41" t="s">
        <v>41</v>
      </c>
      <c r="I30" s="11"/>
    </row>
    <row r="31" spans="1:9" ht="15.75" customHeight="1">
      <c r="A31" s="47">
        <v>44439</v>
      </c>
      <c r="B31" s="48" t="s">
        <v>31</v>
      </c>
      <c r="C31" s="49" t="s">
        <v>57</v>
      </c>
      <c r="D31" s="28" t="s">
        <v>58</v>
      </c>
      <c r="E31" s="50" t="s">
        <v>26</v>
      </c>
      <c r="F31" s="39">
        <f t="shared" si="4"/>
        <v>2737241</v>
      </c>
      <c r="G31" s="19">
        <f t="shared" si="1"/>
        <v>4172.8970039194646</v>
      </c>
      <c r="H31" s="36" t="s">
        <v>34</v>
      </c>
      <c r="I31" s="11"/>
    </row>
    <row r="32" spans="1:9" ht="15.75" customHeight="1">
      <c r="A32" s="47">
        <v>44439</v>
      </c>
      <c r="B32" s="37" t="s">
        <v>42</v>
      </c>
      <c r="C32" s="49" t="s">
        <v>57</v>
      </c>
      <c r="D32" s="28" t="s">
        <v>58</v>
      </c>
      <c r="E32" s="50" t="s">
        <v>26</v>
      </c>
      <c r="F32" s="39">
        <f>1737871</f>
        <v>1737871</v>
      </c>
      <c r="G32" s="19">
        <f t="shared" si="1"/>
        <v>2649.3672603539562</v>
      </c>
      <c r="H32" s="41" t="s">
        <v>45</v>
      </c>
      <c r="I32" s="11"/>
    </row>
    <row r="33" spans="1:9" ht="15.75" customHeight="1">
      <c r="A33" s="47">
        <v>44439</v>
      </c>
      <c r="B33" s="51" t="s">
        <v>59</v>
      </c>
      <c r="C33" s="49" t="s">
        <v>57</v>
      </c>
      <c r="D33" s="28" t="s">
        <v>60</v>
      </c>
      <c r="E33" s="50" t="s">
        <v>26</v>
      </c>
      <c r="F33" s="39">
        <f>1392467</f>
        <v>1392467</v>
      </c>
      <c r="G33" s="19">
        <f t="shared" si="1"/>
        <v>2122.802256855251</v>
      </c>
      <c r="H33" s="41" t="s">
        <v>61</v>
      </c>
      <c r="I33" s="11"/>
    </row>
    <row r="34" spans="1:9" ht="15.75" customHeight="1">
      <c r="A34" s="47">
        <v>44439</v>
      </c>
      <c r="B34" s="52" t="s">
        <v>16</v>
      </c>
      <c r="C34" s="22" t="s">
        <v>62</v>
      </c>
      <c r="D34" s="28" t="s">
        <v>63</v>
      </c>
      <c r="E34" s="24" t="s">
        <v>19</v>
      </c>
      <c r="F34" s="32">
        <f>6000+1080</f>
        <v>7080</v>
      </c>
      <c r="G34" s="19">
        <f t="shared" si="1"/>
        <v>10.793390420408654</v>
      </c>
      <c r="H34" s="20" t="s">
        <v>20</v>
      </c>
      <c r="I34" s="11"/>
    </row>
    <row r="35" spans="1:9" ht="15.75" customHeight="1">
      <c r="A35" s="47">
        <v>44447</v>
      </c>
      <c r="B35" s="37" t="s">
        <v>42</v>
      </c>
      <c r="C35" s="49" t="s">
        <v>64</v>
      </c>
      <c r="D35" s="28" t="s">
        <v>63</v>
      </c>
      <c r="E35" s="53" t="s">
        <v>66</v>
      </c>
      <c r="F35" s="54">
        <f>-1814765</f>
        <v>-1814765</v>
      </c>
      <c r="G35" s="32">
        <f t="shared" si="1"/>
        <v>-2766.5914076684903</v>
      </c>
      <c r="H35" s="41" t="s">
        <v>45</v>
      </c>
      <c r="I35" s="11"/>
    </row>
    <row r="36" spans="1:9" ht="15.75" customHeight="1">
      <c r="A36" s="47">
        <v>44447</v>
      </c>
      <c r="B36" s="40" t="s">
        <v>38</v>
      </c>
      <c r="C36" s="49" t="s">
        <v>64</v>
      </c>
      <c r="D36" s="28" t="s">
        <v>65</v>
      </c>
      <c r="E36" s="55" t="s">
        <v>66</v>
      </c>
      <c r="F36" s="54">
        <f t="shared" ref="F36:F37" si="5">-1824765</f>
        <v>-1824765</v>
      </c>
      <c r="G36" s="19">
        <f t="shared" si="1"/>
        <v>-2781.8363093922317</v>
      </c>
      <c r="H36" s="41" t="s">
        <v>41</v>
      </c>
      <c r="I36" s="11"/>
    </row>
    <row r="37" spans="1:9" ht="15.75" customHeight="1">
      <c r="A37" s="47">
        <v>44447</v>
      </c>
      <c r="B37" s="37" t="s">
        <v>35</v>
      </c>
      <c r="C37" s="49" t="s">
        <v>64</v>
      </c>
      <c r="D37" s="28" t="s">
        <v>67</v>
      </c>
      <c r="E37" s="56" t="s">
        <v>69</v>
      </c>
      <c r="F37" s="54">
        <f t="shared" si="5"/>
        <v>-1824765</v>
      </c>
      <c r="G37" s="19">
        <f t="shared" si="1"/>
        <v>-2781.8363093922317</v>
      </c>
      <c r="H37" s="36" t="s">
        <v>34</v>
      </c>
      <c r="I37" s="11"/>
    </row>
    <row r="38" spans="1:9" ht="15.75" customHeight="1">
      <c r="A38" s="47">
        <v>44447</v>
      </c>
      <c r="B38" s="48" t="s">
        <v>31</v>
      </c>
      <c r="C38" s="49" t="s">
        <v>64</v>
      </c>
      <c r="D38" s="28" t="s">
        <v>68</v>
      </c>
      <c r="E38" s="56" t="s">
        <v>71</v>
      </c>
      <c r="F38" s="54">
        <f>-1814765</f>
        <v>-1814765</v>
      </c>
      <c r="G38" s="19">
        <f t="shared" si="1"/>
        <v>-2766.5914076684903</v>
      </c>
      <c r="H38" s="36" t="s">
        <v>34</v>
      </c>
      <c r="I38" s="11"/>
    </row>
    <row r="39" spans="1:9" ht="15.75" customHeight="1">
      <c r="A39" s="47">
        <v>44447</v>
      </c>
      <c r="B39" s="37" t="s">
        <v>72</v>
      </c>
      <c r="C39" s="52" t="s">
        <v>73</v>
      </c>
      <c r="D39" s="28" t="s">
        <v>70</v>
      </c>
      <c r="E39" s="29" t="s">
        <v>26</v>
      </c>
      <c r="F39" s="39">
        <f>570928</f>
        <v>570928</v>
      </c>
      <c r="G39" s="19">
        <f t="shared" si="1"/>
        <v>870.37412513320237</v>
      </c>
      <c r="H39" s="57" t="s">
        <v>75</v>
      </c>
      <c r="I39" s="11"/>
    </row>
    <row r="40" spans="1:9" ht="15.75" customHeight="1">
      <c r="A40" s="47">
        <v>44447</v>
      </c>
      <c r="B40" s="37" t="s">
        <v>76</v>
      </c>
      <c r="C40" s="52" t="s">
        <v>73</v>
      </c>
      <c r="D40" s="28" t="s">
        <v>70</v>
      </c>
      <c r="E40" s="29" t="s">
        <v>26</v>
      </c>
      <c r="F40" s="39">
        <f>971105</f>
        <v>971105</v>
      </c>
      <c r="G40" s="19">
        <f t="shared" si="1"/>
        <v>1480.4400288433542</v>
      </c>
      <c r="H40" s="57" t="s">
        <v>77</v>
      </c>
      <c r="I40" s="11"/>
    </row>
    <row r="41" spans="1:9" ht="15.75" customHeight="1">
      <c r="A41" s="47">
        <v>44447</v>
      </c>
      <c r="B41" s="40" t="s">
        <v>78</v>
      </c>
      <c r="C41" s="52" t="s">
        <v>73</v>
      </c>
      <c r="D41" s="28" t="s">
        <v>70</v>
      </c>
      <c r="E41" s="29" t="s">
        <v>26</v>
      </c>
      <c r="F41" s="39">
        <f>998281</f>
        <v>998281</v>
      </c>
      <c r="G41" s="19">
        <f t="shared" si="1"/>
        <v>1521.8695737677926</v>
      </c>
      <c r="H41" s="41" t="s">
        <v>79</v>
      </c>
      <c r="I41" s="11"/>
    </row>
    <row r="42" spans="1:9" ht="15.75" customHeight="1">
      <c r="A42" s="47">
        <v>44447</v>
      </c>
      <c r="B42" s="37" t="s">
        <v>80</v>
      </c>
      <c r="C42" s="52" t="s">
        <v>73</v>
      </c>
      <c r="D42" s="28" t="s">
        <v>70</v>
      </c>
      <c r="E42" s="29" t="s">
        <v>26</v>
      </c>
      <c r="F42" s="39">
        <f>365255</f>
        <v>365255</v>
      </c>
      <c r="G42" s="19">
        <f t="shared" si="1"/>
        <v>556.82765791050326</v>
      </c>
      <c r="H42" s="57" t="s">
        <v>81</v>
      </c>
      <c r="I42" s="11"/>
    </row>
    <row r="43" spans="1:9" ht="15.75" customHeight="1">
      <c r="A43" s="47">
        <v>44447</v>
      </c>
      <c r="B43" s="58" t="s">
        <v>82</v>
      </c>
      <c r="C43" s="52" t="s">
        <v>73</v>
      </c>
      <c r="D43" s="28" t="s">
        <v>70</v>
      </c>
      <c r="E43" s="29" t="s">
        <v>26</v>
      </c>
      <c r="F43" s="39">
        <f>1213422</f>
        <v>1213422</v>
      </c>
      <c r="G43" s="19">
        <f t="shared" si="1"/>
        <v>1849.8499139425298</v>
      </c>
      <c r="H43" s="41" t="s">
        <v>83</v>
      </c>
      <c r="I43" s="46"/>
    </row>
    <row r="44" spans="1:9" ht="27" customHeight="1">
      <c r="A44" s="47">
        <v>44447</v>
      </c>
      <c r="B44" s="37" t="s">
        <v>84</v>
      </c>
      <c r="C44" s="52" t="s">
        <v>73</v>
      </c>
      <c r="D44" s="28" t="s">
        <v>70</v>
      </c>
      <c r="E44" s="29" t="s">
        <v>26</v>
      </c>
      <c r="F44" s="39">
        <f>550332</f>
        <v>550332</v>
      </c>
      <c r="G44" s="19">
        <f t="shared" si="1"/>
        <v>838.97572554298529</v>
      </c>
      <c r="H44" s="57" t="s">
        <v>85</v>
      </c>
      <c r="I44" s="11"/>
    </row>
    <row r="45" spans="1:9" ht="15.75" customHeight="1">
      <c r="A45" s="47">
        <v>44447</v>
      </c>
      <c r="B45" s="37" t="s">
        <v>72</v>
      </c>
      <c r="C45" s="52" t="s">
        <v>86</v>
      </c>
      <c r="D45" s="28" t="s">
        <v>74</v>
      </c>
      <c r="E45" s="29" t="s">
        <v>26</v>
      </c>
      <c r="F45" s="39">
        <f>570928</f>
        <v>570928</v>
      </c>
      <c r="G45" s="19">
        <f t="shared" si="1"/>
        <v>870.37412513320237</v>
      </c>
      <c r="H45" s="57" t="s">
        <v>75</v>
      </c>
      <c r="I45" s="11"/>
    </row>
    <row r="46" spans="1:9" ht="15.75" customHeight="1">
      <c r="A46" s="47">
        <v>44447</v>
      </c>
      <c r="B46" s="37" t="s">
        <v>76</v>
      </c>
      <c r="C46" s="52" t="s">
        <v>86</v>
      </c>
      <c r="D46" s="28" t="s">
        <v>74</v>
      </c>
      <c r="E46" s="29" t="s">
        <v>26</v>
      </c>
      <c r="F46" s="39">
        <f>971105</f>
        <v>971105</v>
      </c>
      <c r="G46" s="19">
        <f t="shared" si="1"/>
        <v>1480.4400288433542</v>
      </c>
      <c r="H46" s="57" t="s">
        <v>77</v>
      </c>
      <c r="I46" s="11"/>
    </row>
    <row r="47" spans="1:9" ht="15.75" customHeight="1">
      <c r="A47" s="47">
        <v>44447</v>
      </c>
      <c r="B47" s="40" t="s">
        <v>78</v>
      </c>
      <c r="C47" s="52" t="s">
        <v>86</v>
      </c>
      <c r="D47" s="28" t="s">
        <v>74</v>
      </c>
      <c r="E47" s="29" t="s">
        <v>26</v>
      </c>
      <c r="F47" s="39">
        <f>998281</f>
        <v>998281</v>
      </c>
      <c r="G47" s="19">
        <f t="shared" si="1"/>
        <v>1521.8695737677926</v>
      </c>
      <c r="H47" s="41" t="s">
        <v>79</v>
      </c>
      <c r="I47" s="11"/>
    </row>
    <row r="48" spans="1:9" ht="15.75" customHeight="1">
      <c r="A48" s="47">
        <v>44447</v>
      </c>
      <c r="B48" s="37" t="s">
        <v>80</v>
      </c>
      <c r="C48" s="52" t="s">
        <v>86</v>
      </c>
      <c r="D48" s="28" t="s">
        <v>74</v>
      </c>
      <c r="E48" s="29" t="s">
        <v>26</v>
      </c>
      <c r="F48" s="39">
        <f>365255</f>
        <v>365255</v>
      </c>
      <c r="G48" s="19">
        <f t="shared" si="1"/>
        <v>556.82765791050326</v>
      </c>
      <c r="H48" s="57" t="s">
        <v>81</v>
      </c>
      <c r="I48" s="11"/>
    </row>
    <row r="49" spans="1:8" ht="15.75" customHeight="1">
      <c r="A49" s="47">
        <v>44447</v>
      </c>
      <c r="B49" s="58" t="s">
        <v>82</v>
      </c>
      <c r="C49" s="52" t="s">
        <v>86</v>
      </c>
      <c r="D49" s="28" t="s">
        <v>74</v>
      </c>
      <c r="E49" s="29" t="s">
        <v>26</v>
      </c>
      <c r="F49" s="39">
        <f>1213422</f>
        <v>1213422</v>
      </c>
      <c r="G49" s="32">
        <f t="shared" si="1"/>
        <v>1849.8499139425298</v>
      </c>
      <c r="H49" s="41" t="s">
        <v>83</v>
      </c>
    </row>
    <row r="50" spans="1:8" ht="15.75" customHeight="1">
      <c r="A50" s="47">
        <v>44447</v>
      </c>
      <c r="B50" s="37" t="s">
        <v>84</v>
      </c>
      <c r="C50" s="52" t="s">
        <v>86</v>
      </c>
      <c r="D50" s="28" t="s">
        <v>74</v>
      </c>
      <c r="E50" s="29" t="s">
        <v>26</v>
      </c>
      <c r="F50" s="39">
        <f>550332</f>
        <v>550332</v>
      </c>
      <c r="G50" s="19">
        <f t="shared" si="1"/>
        <v>838.97572554298529</v>
      </c>
      <c r="H50" s="57" t="s">
        <v>85</v>
      </c>
    </row>
    <row r="51" spans="1:8" ht="15.75" customHeight="1">
      <c r="A51" s="47">
        <v>44447</v>
      </c>
      <c r="B51" s="37" t="s">
        <v>88</v>
      </c>
      <c r="C51" s="52" t="s">
        <v>89</v>
      </c>
      <c r="D51" s="28" t="s">
        <v>87</v>
      </c>
      <c r="E51" s="29" t="s">
        <v>26</v>
      </c>
      <c r="F51" s="39">
        <f t="shared" ref="F51:F52" si="6">2393828</f>
        <v>2393828</v>
      </c>
      <c r="G51" s="19">
        <f t="shared" si="1"/>
        <v>3649.3672603539562</v>
      </c>
      <c r="H51" s="57" t="s">
        <v>91</v>
      </c>
    </row>
    <row r="52" spans="1:8" ht="15.75" customHeight="1">
      <c r="A52" s="47">
        <v>44447</v>
      </c>
      <c r="B52" s="37" t="s">
        <v>88</v>
      </c>
      <c r="C52" s="52" t="s">
        <v>92</v>
      </c>
      <c r="D52" s="28" t="s">
        <v>90</v>
      </c>
      <c r="E52" s="29" t="s">
        <v>26</v>
      </c>
      <c r="F52" s="39">
        <f t="shared" si="6"/>
        <v>2393828</v>
      </c>
      <c r="G52" s="19">
        <f t="shared" si="1"/>
        <v>3649.3672603539562</v>
      </c>
      <c r="H52" s="57" t="s">
        <v>91</v>
      </c>
    </row>
    <row r="53" spans="1:8" ht="15.75" customHeight="1">
      <c r="A53" s="47">
        <v>44447</v>
      </c>
      <c r="B53" s="37" t="s">
        <v>72</v>
      </c>
      <c r="C53" s="52" t="s">
        <v>94</v>
      </c>
      <c r="D53" s="28" t="s">
        <v>93</v>
      </c>
      <c r="E53" s="29" t="s">
        <v>26</v>
      </c>
      <c r="F53" s="39">
        <f>570928</f>
        <v>570928</v>
      </c>
      <c r="G53" s="19">
        <f t="shared" si="1"/>
        <v>870.37412513320237</v>
      </c>
      <c r="H53" s="57" t="s">
        <v>75</v>
      </c>
    </row>
    <row r="54" spans="1:8" ht="15.75" customHeight="1">
      <c r="A54" s="47">
        <v>44447</v>
      </c>
      <c r="B54" s="37" t="s">
        <v>76</v>
      </c>
      <c r="C54" s="52" t="s">
        <v>94</v>
      </c>
      <c r="D54" s="28" t="s">
        <v>93</v>
      </c>
      <c r="E54" s="29" t="s">
        <v>26</v>
      </c>
      <c r="F54" s="39">
        <f>971105</f>
        <v>971105</v>
      </c>
      <c r="G54" s="19">
        <f t="shared" si="1"/>
        <v>1480.4400288433542</v>
      </c>
      <c r="H54" s="57" t="s">
        <v>77</v>
      </c>
    </row>
    <row r="55" spans="1:8" ht="15.75" customHeight="1">
      <c r="A55" s="47">
        <v>44447</v>
      </c>
      <c r="B55" s="40" t="s">
        <v>78</v>
      </c>
      <c r="C55" s="52" t="s">
        <v>94</v>
      </c>
      <c r="D55" s="28" t="s">
        <v>93</v>
      </c>
      <c r="E55" s="29" t="s">
        <v>26</v>
      </c>
      <c r="F55" s="39">
        <f>998281</f>
        <v>998281</v>
      </c>
      <c r="G55" s="19">
        <f t="shared" si="1"/>
        <v>1521.8695737677926</v>
      </c>
      <c r="H55" s="41" t="s">
        <v>79</v>
      </c>
    </row>
    <row r="56" spans="1:8" ht="15.75" customHeight="1">
      <c r="A56" s="47">
        <v>44447</v>
      </c>
      <c r="B56" s="37" t="s">
        <v>80</v>
      </c>
      <c r="C56" s="52" t="s">
        <v>94</v>
      </c>
      <c r="D56" s="28" t="s">
        <v>93</v>
      </c>
      <c r="E56" s="29" t="s">
        <v>26</v>
      </c>
      <c r="F56" s="39">
        <f>365255</f>
        <v>365255</v>
      </c>
      <c r="G56" s="19">
        <f t="shared" si="1"/>
        <v>556.82765791050326</v>
      </c>
      <c r="H56" s="57" t="s">
        <v>81</v>
      </c>
    </row>
    <row r="57" spans="1:8" ht="15.75" customHeight="1">
      <c r="A57" s="47">
        <v>44447</v>
      </c>
      <c r="B57" s="58" t="s">
        <v>82</v>
      </c>
      <c r="C57" s="52" t="s">
        <v>94</v>
      </c>
      <c r="D57" s="28" t="s">
        <v>93</v>
      </c>
      <c r="E57" s="29" t="s">
        <v>26</v>
      </c>
      <c r="F57" s="39">
        <f>1213422</f>
        <v>1213422</v>
      </c>
      <c r="G57" s="19">
        <f t="shared" si="1"/>
        <v>1849.8499139425298</v>
      </c>
      <c r="H57" s="41" t="s">
        <v>83</v>
      </c>
    </row>
    <row r="58" spans="1:8" ht="15.75" customHeight="1">
      <c r="A58" s="47">
        <v>44447</v>
      </c>
      <c r="B58" s="37" t="s">
        <v>84</v>
      </c>
      <c r="C58" s="52" t="s">
        <v>94</v>
      </c>
      <c r="D58" s="28" t="s">
        <v>93</v>
      </c>
      <c r="E58" s="29" t="s">
        <v>26</v>
      </c>
      <c r="F58" s="39">
        <f>550332</f>
        <v>550332</v>
      </c>
      <c r="G58" s="19">
        <f t="shared" si="1"/>
        <v>838.97572554298529</v>
      </c>
      <c r="H58" s="57" t="s">
        <v>85</v>
      </c>
    </row>
    <row r="59" spans="1:8" ht="15.75" customHeight="1">
      <c r="A59" s="47">
        <v>44447</v>
      </c>
      <c r="B59" s="37" t="s">
        <v>88</v>
      </c>
      <c r="C59" s="52" t="s">
        <v>96</v>
      </c>
      <c r="D59" s="28" t="s">
        <v>95</v>
      </c>
      <c r="E59" s="29" t="s">
        <v>26</v>
      </c>
      <c r="F59" s="39">
        <f>2393828</f>
        <v>2393828</v>
      </c>
      <c r="G59" s="19">
        <f t="shared" si="1"/>
        <v>3649.3672603539562</v>
      </c>
      <c r="H59" s="57" t="s">
        <v>91</v>
      </c>
    </row>
    <row r="60" spans="1:8" ht="15.75" customHeight="1">
      <c r="A60" s="47">
        <v>44452</v>
      </c>
      <c r="B60" s="51" t="s">
        <v>59</v>
      </c>
      <c r="C60" s="52" t="s">
        <v>98</v>
      </c>
      <c r="D60" s="28" t="s">
        <v>97</v>
      </c>
      <c r="E60" s="42">
        <v>9678895</v>
      </c>
      <c r="F60" s="39">
        <f>51125</f>
        <v>51125</v>
      </c>
      <c r="G60" s="19">
        <f t="shared" si="1"/>
        <v>77.939560062626057</v>
      </c>
      <c r="H60" s="41" t="s">
        <v>100</v>
      </c>
    </row>
    <row r="61" spans="1:8" ht="15.75" customHeight="1">
      <c r="A61" s="47">
        <v>44459</v>
      </c>
      <c r="B61" s="37" t="s">
        <v>101</v>
      </c>
      <c r="C61" s="52" t="s">
        <v>102</v>
      </c>
      <c r="D61" s="28" t="s">
        <v>99</v>
      </c>
      <c r="E61" s="42">
        <v>9678896</v>
      </c>
      <c r="F61" s="39">
        <f>2070561</f>
        <v>2070561</v>
      </c>
      <c r="G61" s="19">
        <f t="shared" si="1"/>
        <v>3156.5498958010967</v>
      </c>
      <c r="H61" s="41" t="s">
        <v>104</v>
      </c>
    </row>
    <row r="62" spans="1:8" ht="15.75" customHeight="1">
      <c r="A62" s="47">
        <v>44459</v>
      </c>
      <c r="B62" s="37" t="s">
        <v>105</v>
      </c>
      <c r="C62" s="45" t="s">
        <v>106</v>
      </c>
      <c r="D62" s="28" t="s">
        <v>103</v>
      </c>
      <c r="E62" s="29" t="s">
        <v>26</v>
      </c>
      <c r="F62" s="39">
        <f>360000</f>
        <v>360000</v>
      </c>
      <c r="G62" s="19">
        <f t="shared" si="1"/>
        <v>548.81646205467734</v>
      </c>
      <c r="H62" s="57" t="s">
        <v>108</v>
      </c>
    </row>
    <row r="63" spans="1:8" ht="15.75" customHeight="1">
      <c r="A63" s="47">
        <v>44459</v>
      </c>
      <c r="B63" s="37" t="s">
        <v>16</v>
      </c>
      <c r="C63" s="45" t="s">
        <v>109</v>
      </c>
      <c r="D63" s="28" t="s">
        <v>107</v>
      </c>
      <c r="E63" s="29" t="s">
        <v>19</v>
      </c>
      <c r="F63" s="39">
        <f>54280</f>
        <v>54280</v>
      </c>
      <c r="G63" s="19">
        <f t="shared" si="1"/>
        <v>82.749326556466357</v>
      </c>
      <c r="H63" s="20" t="s">
        <v>20</v>
      </c>
    </row>
    <row r="64" spans="1:8" ht="15.75" customHeight="1">
      <c r="A64" s="47">
        <v>44460</v>
      </c>
      <c r="B64" s="37" t="s">
        <v>111</v>
      </c>
      <c r="C64" s="59" t="s">
        <v>112</v>
      </c>
      <c r="D64" s="28" t="s">
        <v>110</v>
      </c>
      <c r="E64" s="29" t="s">
        <v>26</v>
      </c>
      <c r="F64" s="39">
        <f t="shared" ref="F64:F65" si="7">690000</f>
        <v>690000</v>
      </c>
      <c r="G64" s="19">
        <f t="shared" si="1"/>
        <v>1051.8982189381315</v>
      </c>
      <c r="H64" s="36" t="s">
        <v>34</v>
      </c>
    </row>
    <row r="65" spans="1:8" ht="15.75" customHeight="1">
      <c r="A65" s="47">
        <v>44460</v>
      </c>
      <c r="B65" s="37" t="s">
        <v>111</v>
      </c>
      <c r="C65" s="59" t="s">
        <v>114</v>
      </c>
      <c r="D65" s="28" t="s">
        <v>113</v>
      </c>
      <c r="E65" s="29"/>
      <c r="F65" s="39">
        <f t="shared" si="7"/>
        <v>690000</v>
      </c>
      <c r="G65" s="19">
        <f t="shared" si="1"/>
        <v>1051.8982189381315</v>
      </c>
      <c r="H65" s="36" t="s">
        <v>34</v>
      </c>
    </row>
    <row r="66" spans="1:8" ht="15.75" customHeight="1">
      <c r="A66" s="47">
        <v>44460</v>
      </c>
      <c r="B66" s="37" t="s">
        <v>111</v>
      </c>
      <c r="C66" s="59" t="s">
        <v>116</v>
      </c>
      <c r="D66" s="28" t="s">
        <v>115</v>
      </c>
      <c r="E66" s="29" t="s">
        <v>26</v>
      </c>
      <c r="F66" s="39">
        <v>690000</v>
      </c>
      <c r="G66" s="19">
        <f t="shared" si="1"/>
        <v>1051.8982189381315</v>
      </c>
      <c r="H66" s="41" t="s">
        <v>41</v>
      </c>
    </row>
    <row r="67" spans="1:8" ht="15.75" customHeight="1">
      <c r="A67" s="47">
        <v>44460</v>
      </c>
      <c r="B67" s="37" t="s">
        <v>111</v>
      </c>
      <c r="C67" s="59" t="s">
        <v>118</v>
      </c>
      <c r="D67" s="28" t="s">
        <v>117</v>
      </c>
      <c r="E67" s="29" t="s">
        <v>26</v>
      </c>
      <c r="F67" s="39">
        <f>690000</f>
        <v>690000</v>
      </c>
      <c r="G67" s="19">
        <f t="shared" si="1"/>
        <v>1051.8982189381315</v>
      </c>
      <c r="H67" s="41" t="s">
        <v>45</v>
      </c>
    </row>
    <row r="68" spans="1:8" ht="15.75" customHeight="1">
      <c r="A68" s="47">
        <v>44460</v>
      </c>
      <c r="B68" s="37" t="s">
        <v>111</v>
      </c>
      <c r="C68" s="59" t="s">
        <v>120</v>
      </c>
      <c r="D68" s="28" t="s">
        <v>119</v>
      </c>
      <c r="E68" s="29" t="s">
        <v>26</v>
      </c>
      <c r="F68" s="39">
        <f>920000</f>
        <v>920000</v>
      </c>
      <c r="G68" s="19">
        <f t="shared" si="1"/>
        <v>1402.5309585841756</v>
      </c>
      <c r="H68" s="57" t="s">
        <v>91</v>
      </c>
    </row>
    <row r="69" spans="1:8" ht="15.75" customHeight="1">
      <c r="A69" s="47">
        <v>44460</v>
      </c>
      <c r="B69" s="37" t="s">
        <v>122</v>
      </c>
      <c r="C69" s="59" t="s">
        <v>123</v>
      </c>
      <c r="D69" s="28" t="s">
        <v>121</v>
      </c>
      <c r="E69" s="29" t="s">
        <v>26</v>
      </c>
      <c r="F69" s="39">
        <f t="shared" ref="F69:F70" si="8">230000</f>
        <v>230000</v>
      </c>
      <c r="G69" s="19">
        <f t="shared" si="1"/>
        <v>350.63273964604389</v>
      </c>
      <c r="H69" s="41" t="s">
        <v>61</v>
      </c>
    </row>
    <row r="70" spans="1:8" ht="15.75" customHeight="1">
      <c r="A70" s="47">
        <v>44460</v>
      </c>
      <c r="B70" s="37" t="s">
        <v>122</v>
      </c>
      <c r="C70" s="59" t="s">
        <v>125</v>
      </c>
      <c r="D70" s="28" t="s">
        <v>124</v>
      </c>
      <c r="E70" s="29" t="s">
        <v>26</v>
      </c>
      <c r="F70" s="39">
        <f t="shared" si="8"/>
        <v>230000</v>
      </c>
      <c r="G70" s="19">
        <f t="shared" si="1"/>
        <v>350.63273964604389</v>
      </c>
      <c r="H70" s="41" t="s">
        <v>61</v>
      </c>
    </row>
    <row r="71" spans="1:8" ht="15.75" customHeight="1">
      <c r="A71" s="47">
        <v>44460</v>
      </c>
      <c r="B71" s="37" t="s">
        <v>16</v>
      </c>
      <c r="C71" s="45" t="s">
        <v>127</v>
      </c>
      <c r="D71" s="28" t="s">
        <v>126</v>
      </c>
      <c r="E71" s="29" t="s">
        <v>19</v>
      </c>
      <c r="F71" s="39">
        <f t="shared" ref="F71:F72" si="9">5900</f>
        <v>5900</v>
      </c>
      <c r="G71" s="19">
        <f t="shared" si="1"/>
        <v>8.9944920170072127</v>
      </c>
      <c r="H71" s="20" t="s">
        <v>20</v>
      </c>
    </row>
    <row r="72" spans="1:8" ht="15.75" customHeight="1">
      <c r="A72" s="47">
        <v>44460</v>
      </c>
      <c r="B72" s="37" t="s">
        <v>16</v>
      </c>
      <c r="C72" s="45" t="s">
        <v>129</v>
      </c>
      <c r="D72" s="28" t="s">
        <v>128</v>
      </c>
      <c r="E72" s="29" t="s">
        <v>19</v>
      </c>
      <c r="F72" s="39">
        <f t="shared" si="9"/>
        <v>5900</v>
      </c>
      <c r="G72" s="19">
        <f t="shared" si="1"/>
        <v>8.9944920170072127</v>
      </c>
      <c r="H72" s="20" t="s">
        <v>20</v>
      </c>
    </row>
    <row r="73" spans="1:8" ht="15.75" customHeight="1">
      <c r="A73" s="47">
        <v>44460</v>
      </c>
      <c r="B73" s="37" t="s">
        <v>35</v>
      </c>
      <c r="C73" s="49" t="s">
        <v>131</v>
      </c>
      <c r="D73" s="28" t="s">
        <v>130</v>
      </c>
      <c r="E73" s="50" t="s">
        <v>26</v>
      </c>
      <c r="F73" s="39">
        <f t="shared" ref="F73:F75" si="10">2737241</f>
        <v>2737241</v>
      </c>
      <c r="G73" s="19">
        <f t="shared" si="1"/>
        <v>4172.8970039194646</v>
      </c>
      <c r="H73" s="36" t="s">
        <v>34</v>
      </c>
    </row>
    <row r="74" spans="1:8" ht="15.75" customHeight="1">
      <c r="A74" s="47">
        <v>44460</v>
      </c>
      <c r="B74" s="40" t="s">
        <v>38</v>
      </c>
      <c r="C74" s="49" t="s">
        <v>131</v>
      </c>
      <c r="D74" s="28" t="s">
        <v>130</v>
      </c>
      <c r="E74" s="50" t="s">
        <v>26</v>
      </c>
      <c r="F74" s="39">
        <f t="shared" si="10"/>
        <v>2737241</v>
      </c>
      <c r="G74" s="19">
        <f t="shared" si="1"/>
        <v>4172.8970039194646</v>
      </c>
      <c r="H74" s="41" t="s">
        <v>41</v>
      </c>
    </row>
    <row r="75" spans="1:8" ht="15.75" customHeight="1">
      <c r="A75" s="47">
        <v>44460</v>
      </c>
      <c r="B75" s="48" t="s">
        <v>31</v>
      </c>
      <c r="C75" s="49" t="s">
        <v>131</v>
      </c>
      <c r="D75" s="28" t="s">
        <v>130</v>
      </c>
      <c r="E75" s="50" t="s">
        <v>26</v>
      </c>
      <c r="F75" s="39">
        <f t="shared" si="10"/>
        <v>2737241</v>
      </c>
      <c r="G75" s="19">
        <f t="shared" si="1"/>
        <v>4172.8970039194646</v>
      </c>
      <c r="H75" s="36" t="s">
        <v>34</v>
      </c>
    </row>
    <row r="76" spans="1:8" ht="15.75" customHeight="1">
      <c r="A76" s="47">
        <v>44460</v>
      </c>
      <c r="B76" s="37" t="s">
        <v>42</v>
      </c>
      <c r="C76" s="49" t="s">
        <v>131</v>
      </c>
      <c r="D76" s="28" t="s">
        <v>130</v>
      </c>
      <c r="E76" s="50" t="s">
        <v>26</v>
      </c>
      <c r="F76" s="39">
        <f>1737871</f>
        <v>1737871</v>
      </c>
      <c r="G76" s="19">
        <f t="shared" si="1"/>
        <v>2649.3672603539562</v>
      </c>
      <c r="H76" s="41" t="s">
        <v>45</v>
      </c>
    </row>
    <row r="77" spans="1:8" ht="15.75" customHeight="1">
      <c r="A77" s="47">
        <v>44460</v>
      </c>
      <c r="B77" s="51" t="s">
        <v>59</v>
      </c>
      <c r="C77" s="49" t="s">
        <v>131</v>
      </c>
      <c r="D77" s="28" t="s">
        <v>130</v>
      </c>
      <c r="E77" s="50" t="s">
        <v>26</v>
      </c>
      <c r="F77" s="39">
        <f>3555757</f>
        <v>3555757</v>
      </c>
      <c r="G77" s="19">
        <f t="shared" si="1"/>
        <v>5420.7166018504258</v>
      </c>
      <c r="H77" s="41" t="s">
        <v>61</v>
      </c>
    </row>
    <row r="78" spans="1:8" ht="15.75" customHeight="1">
      <c r="A78" s="47">
        <v>44460</v>
      </c>
      <c r="B78" s="37" t="s">
        <v>72</v>
      </c>
      <c r="C78" s="52" t="s">
        <v>133</v>
      </c>
      <c r="D78" s="28" t="s">
        <v>132</v>
      </c>
      <c r="E78" s="29" t="s">
        <v>26</v>
      </c>
      <c r="F78" s="39">
        <f>570928</f>
        <v>570928</v>
      </c>
      <c r="G78" s="19">
        <f t="shared" si="1"/>
        <v>870.37412513320237</v>
      </c>
      <c r="H78" s="57" t="s">
        <v>75</v>
      </c>
    </row>
    <row r="79" spans="1:8" ht="15.75" customHeight="1">
      <c r="A79" s="47">
        <v>44460</v>
      </c>
      <c r="B79" s="37" t="s">
        <v>76</v>
      </c>
      <c r="C79" s="52" t="s">
        <v>133</v>
      </c>
      <c r="D79" s="28" t="s">
        <v>132</v>
      </c>
      <c r="E79" s="29" t="s">
        <v>26</v>
      </c>
      <c r="F79" s="39">
        <f>971105</f>
        <v>971105</v>
      </c>
      <c r="G79" s="19">
        <f t="shared" si="1"/>
        <v>1480.4400288433542</v>
      </c>
      <c r="H79" s="57" t="s">
        <v>77</v>
      </c>
    </row>
    <row r="80" spans="1:8" ht="15.75" customHeight="1">
      <c r="A80" s="47">
        <v>44460</v>
      </c>
      <c r="B80" s="40" t="s">
        <v>78</v>
      </c>
      <c r="C80" s="52" t="s">
        <v>133</v>
      </c>
      <c r="D80" s="28" t="s">
        <v>132</v>
      </c>
      <c r="E80" s="29" t="s">
        <v>26</v>
      </c>
      <c r="F80" s="39">
        <f>998281</f>
        <v>998281</v>
      </c>
      <c r="G80" s="19">
        <f t="shared" si="1"/>
        <v>1521.8695737677926</v>
      </c>
      <c r="H80" s="41" t="s">
        <v>79</v>
      </c>
    </row>
    <row r="81" spans="1:8" ht="15.75" customHeight="1">
      <c r="A81" s="47">
        <v>44460</v>
      </c>
      <c r="B81" s="37" t="s">
        <v>80</v>
      </c>
      <c r="C81" s="52" t="s">
        <v>133</v>
      </c>
      <c r="D81" s="28" t="s">
        <v>132</v>
      </c>
      <c r="E81" s="29" t="s">
        <v>26</v>
      </c>
      <c r="F81" s="39">
        <f>365255</f>
        <v>365255</v>
      </c>
      <c r="G81" s="19">
        <f t="shared" si="1"/>
        <v>556.82765791050326</v>
      </c>
      <c r="H81" s="57" t="s">
        <v>81</v>
      </c>
    </row>
    <row r="82" spans="1:8" ht="15.75" customHeight="1">
      <c r="A82" s="47">
        <v>44460</v>
      </c>
      <c r="B82" s="58" t="s">
        <v>82</v>
      </c>
      <c r="C82" s="52" t="s">
        <v>133</v>
      </c>
      <c r="D82" s="28" t="s">
        <v>132</v>
      </c>
      <c r="E82" s="29" t="s">
        <v>26</v>
      </c>
      <c r="F82" s="39">
        <f>1213422</f>
        <v>1213422</v>
      </c>
      <c r="G82" s="19">
        <f t="shared" si="1"/>
        <v>1849.8499139425298</v>
      </c>
      <c r="H82" s="41" t="s">
        <v>83</v>
      </c>
    </row>
    <row r="83" spans="1:8" ht="15.75" customHeight="1">
      <c r="A83" s="47">
        <v>44460</v>
      </c>
      <c r="B83" s="37" t="s">
        <v>84</v>
      </c>
      <c r="C83" s="52" t="s">
        <v>133</v>
      </c>
      <c r="D83" s="28" t="s">
        <v>132</v>
      </c>
      <c r="E83" s="29" t="s">
        <v>26</v>
      </c>
      <c r="F83" s="39">
        <f>550332</f>
        <v>550332</v>
      </c>
      <c r="G83" s="19">
        <f t="shared" si="1"/>
        <v>838.97572554298529</v>
      </c>
      <c r="H83" s="57" t="s">
        <v>85</v>
      </c>
    </row>
    <row r="84" spans="1:8" ht="15.75" customHeight="1">
      <c r="A84" s="47">
        <v>44460</v>
      </c>
      <c r="B84" s="37" t="s">
        <v>88</v>
      </c>
      <c r="C84" s="52" t="s">
        <v>135</v>
      </c>
      <c r="D84" s="28" t="s">
        <v>134</v>
      </c>
      <c r="E84" s="29" t="s">
        <v>26</v>
      </c>
      <c r="F84" s="39">
        <f>2393828</f>
        <v>2393828</v>
      </c>
      <c r="G84" s="19">
        <f t="shared" si="1"/>
        <v>3649.3672603539562</v>
      </c>
      <c r="H84" s="57" t="s">
        <v>91</v>
      </c>
    </row>
    <row r="85" spans="1:8" ht="15.75" customHeight="1">
      <c r="A85" s="47">
        <v>44468</v>
      </c>
      <c r="B85" s="37" t="s">
        <v>137</v>
      </c>
      <c r="C85" s="45" t="s">
        <v>138</v>
      </c>
      <c r="D85" s="28" t="s">
        <v>136</v>
      </c>
      <c r="E85" s="42">
        <v>9678897</v>
      </c>
      <c r="F85" s="39">
        <f>1279184</f>
        <v>1279184</v>
      </c>
      <c r="G85" s="19">
        <f t="shared" si="1"/>
        <v>1950.1034366581955</v>
      </c>
      <c r="H85" s="41" t="s">
        <v>140</v>
      </c>
    </row>
    <row r="86" spans="1:8" ht="15.75" customHeight="1">
      <c r="A86" s="47">
        <v>44469</v>
      </c>
      <c r="B86" s="52" t="s">
        <v>16</v>
      </c>
      <c r="C86" s="22" t="s">
        <v>141</v>
      </c>
      <c r="D86" s="28" t="s">
        <v>139</v>
      </c>
      <c r="E86" s="24" t="s">
        <v>19</v>
      </c>
      <c r="F86" s="32">
        <f>6000+1080</f>
        <v>7080</v>
      </c>
      <c r="G86" s="32">
        <f t="shared" si="1"/>
        <v>10.793390420408654</v>
      </c>
      <c r="H86" s="20" t="s">
        <v>20</v>
      </c>
    </row>
    <row r="87" spans="1:8" ht="15.75" customHeight="1">
      <c r="A87" s="47"/>
      <c r="B87" s="37"/>
      <c r="C87" s="52"/>
      <c r="D87" s="55"/>
      <c r="E87" s="29"/>
      <c r="F87" s="39"/>
      <c r="G87" s="39"/>
      <c r="H87" s="60"/>
    </row>
    <row r="88" spans="1:8" ht="15.75" customHeight="1">
      <c r="A88" s="129"/>
      <c r="B88" s="130" t="s">
        <v>361</v>
      </c>
      <c r="C88" s="131"/>
      <c r="D88" s="132"/>
      <c r="E88" s="133"/>
      <c r="F88" s="134">
        <f t="shared" ref="F88:G88" si="11">SUM(F12:F87)</f>
        <v>71071247</v>
      </c>
      <c r="G88" s="134">
        <f t="shared" si="11"/>
        <v>108347.41758987254</v>
      </c>
      <c r="H88" s="135"/>
    </row>
    <row r="89" spans="1:8" ht="15.75" customHeight="1"/>
    <row r="90" spans="1:8" ht="15.75" customHeight="1">
      <c r="A90" s="136" t="s">
        <v>145</v>
      </c>
      <c r="B90" s="137"/>
    </row>
    <row r="91" spans="1:8" ht="15.75" customHeight="1">
      <c r="A91" s="136"/>
      <c r="B91" s="137"/>
    </row>
    <row r="92" spans="1:8" ht="15.75" customHeight="1">
      <c r="A92" s="136"/>
      <c r="B92" s="137"/>
    </row>
    <row r="93" spans="1:8" ht="15.75" customHeight="1">
      <c r="G93" s="138" t="s">
        <v>146</v>
      </c>
      <c r="H93" s="138"/>
    </row>
    <row r="94" spans="1:8" ht="15.75" customHeight="1">
      <c r="G94" s="138"/>
      <c r="H94" s="138"/>
    </row>
    <row r="95" spans="1:8" ht="15.75" customHeight="1">
      <c r="G95" s="138"/>
      <c r="H95" s="138"/>
    </row>
    <row r="96" spans="1:8" ht="15.75" customHeight="1">
      <c r="G96" s="138"/>
      <c r="H96" s="138"/>
    </row>
    <row r="97" spans="1:8" ht="15.75" customHeight="1">
      <c r="A97" s="139" t="s">
        <v>362</v>
      </c>
      <c r="B97" s="139"/>
      <c r="G97" s="138"/>
      <c r="H97" s="138"/>
    </row>
    <row r="98" spans="1:8" ht="15.75" customHeight="1">
      <c r="G98" s="138" t="s">
        <v>363</v>
      </c>
      <c r="H98" s="138"/>
    </row>
    <row r="99" spans="1:8" ht="15.75" customHeight="1"/>
    <row r="100" spans="1:8" ht="15.75" customHeight="1"/>
    <row r="101" spans="1:8" ht="15.75" customHeight="1"/>
    <row r="102" spans="1:8" ht="15.75" customHeight="1"/>
    <row r="103" spans="1:8" ht="15.75" customHeight="1"/>
    <row r="104" spans="1:8" ht="15.75" customHeight="1"/>
    <row r="105" spans="1:8" ht="15.75" customHeight="1"/>
    <row r="106" spans="1:8" ht="15.75" customHeight="1"/>
    <row r="107" spans="1:8" ht="15.75" customHeight="1"/>
    <row r="108" spans="1:8" ht="15.75" customHeight="1"/>
    <row r="109" spans="1:8" ht="15.75" customHeight="1"/>
    <row r="110" spans="1:8" ht="15.75" customHeight="1"/>
    <row r="111" spans="1:8" ht="15.75" customHeight="1"/>
    <row r="112" spans="1:8" ht="15.75" customHeight="1"/>
    <row r="113" spans="1:8" ht="15.75" customHeight="1"/>
    <row r="114" spans="1:8" ht="15.75" customHeight="1"/>
    <row r="115" spans="1:8" ht="15.75" customHeight="1">
      <c r="A115" s="47"/>
      <c r="B115" s="140"/>
      <c r="C115" s="141"/>
      <c r="D115" s="141"/>
      <c r="E115" s="141"/>
      <c r="F115" s="141"/>
      <c r="G115" s="141"/>
      <c r="H115" s="142"/>
    </row>
    <row r="116" spans="1:8" ht="15.75" customHeight="1">
      <c r="A116" s="47"/>
      <c r="B116" s="957" t="s">
        <v>148</v>
      </c>
      <c r="C116" s="935"/>
      <c r="D116" s="935"/>
      <c r="E116" s="958"/>
      <c r="F116" s="39"/>
      <c r="G116" s="19"/>
      <c r="H116" s="41"/>
    </row>
    <row r="117" spans="1:8" ht="15.75" customHeight="1">
      <c r="A117" s="47">
        <v>44476</v>
      </c>
      <c r="B117" s="82" t="s">
        <v>149</v>
      </c>
      <c r="C117" s="83" t="s">
        <v>364</v>
      </c>
      <c r="D117" s="28" t="s">
        <v>142</v>
      </c>
      <c r="E117" s="42">
        <v>9678898</v>
      </c>
      <c r="F117" s="85">
        <f>2033467</f>
        <v>2033467</v>
      </c>
      <c r="G117" s="19"/>
      <c r="H117" s="86" t="s">
        <v>193</v>
      </c>
    </row>
    <row r="118" spans="1:8" ht="15.75" customHeight="1">
      <c r="A118" s="47">
        <v>44484</v>
      </c>
      <c r="B118" s="37" t="s">
        <v>46</v>
      </c>
      <c r="C118" s="37" t="s">
        <v>46</v>
      </c>
      <c r="D118" s="80"/>
      <c r="E118" s="42">
        <v>9678899</v>
      </c>
      <c r="F118" s="84">
        <f>0</f>
        <v>0</v>
      </c>
      <c r="G118" s="19"/>
      <c r="H118" s="81"/>
    </row>
    <row r="119" spans="1:8" ht="15.75" customHeight="1">
      <c r="A119" s="47">
        <v>44484</v>
      </c>
      <c r="B119" s="80" t="s">
        <v>153</v>
      </c>
      <c r="C119" s="80" t="s">
        <v>154</v>
      </c>
      <c r="D119" s="28" t="s">
        <v>151</v>
      </c>
      <c r="E119" s="42">
        <v>9678900</v>
      </c>
      <c r="F119" s="84">
        <f>82710</f>
        <v>82710</v>
      </c>
      <c r="G119" s="19"/>
      <c r="H119" s="41" t="s">
        <v>100</v>
      </c>
    </row>
    <row r="120" spans="1:8" ht="15.75" customHeight="1">
      <c r="A120" s="47">
        <v>44487</v>
      </c>
      <c r="B120" s="37" t="s">
        <v>72</v>
      </c>
      <c r="C120" s="83" t="s">
        <v>156</v>
      </c>
      <c r="D120" s="28" t="s">
        <v>155</v>
      </c>
      <c r="E120" s="82">
        <v>9678901</v>
      </c>
      <c r="F120" s="84">
        <f>600000</f>
        <v>600000</v>
      </c>
      <c r="G120" s="19"/>
      <c r="H120" s="41" t="s">
        <v>158</v>
      </c>
    </row>
    <row r="121" spans="1:8" ht="15.75" customHeight="1">
      <c r="A121" s="47">
        <v>44487</v>
      </c>
      <c r="B121" s="82" t="s">
        <v>159</v>
      </c>
      <c r="C121" s="83" t="s">
        <v>160</v>
      </c>
      <c r="D121" s="28" t="s">
        <v>157</v>
      </c>
      <c r="E121" s="82">
        <v>9678902</v>
      </c>
      <c r="F121" s="84">
        <f>634504</f>
        <v>634504</v>
      </c>
      <c r="G121" s="19"/>
      <c r="H121" s="60" t="s">
        <v>162</v>
      </c>
    </row>
    <row r="122" spans="1:8" ht="15.75" customHeight="1">
      <c r="A122" s="47">
        <v>44487</v>
      </c>
      <c r="B122" s="82" t="s">
        <v>163</v>
      </c>
      <c r="C122" s="87" t="s">
        <v>164</v>
      </c>
      <c r="D122" s="28" t="s">
        <v>161</v>
      </c>
      <c r="E122" s="80">
        <v>9678903</v>
      </c>
      <c r="F122" s="84">
        <f>1032352</f>
        <v>1032352</v>
      </c>
      <c r="G122" s="19"/>
      <c r="H122" s="60" t="s">
        <v>162</v>
      </c>
    </row>
    <row r="123" spans="1:8" ht="15.75" customHeight="1">
      <c r="A123" s="47">
        <v>44487</v>
      </c>
      <c r="B123" s="80" t="s">
        <v>166</v>
      </c>
      <c r="C123" s="80" t="s">
        <v>167</v>
      </c>
      <c r="D123" s="28" t="s">
        <v>165</v>
      </c>
      <c r="E123" s="80">
        <v>9678904</v>
      </c>
      <c r="F123" s="84">
        <f>1092437</f>
        <v>1092437</v>
      </c>
      <c r="G123" s="19"/>
      <c r="H123" s="41" t="s">
        <v>169</v>
      </c>
    </row>
    <row r="124" spans="1:8" ht="15.75" customHeight="1">
      <c r="A124" s="47">
        <v>44489</v>
      </c>
      <c r="B124" s="37" t="s">
        <v>88</v>
      </c>
      <c r="C124" s="80" t="s">
        <v>170</v>
      </c>
      <c r="D124" s="28" t="s">
        <v>168</v>
      </c>
      <c r="E124" s="80">
        <v>9678905</v>
      </c>
      <c r="F124" s="84">
        <f t="shared" ref="F124:F126" si="12">1983614</f>
        <v>1983614</v>
      </c>
      <c r="G124" s="19"/>
      <c r="H124" s="60" t="s">
        <v>172</v>
      </c>
    </row>
    <row r="125" spans="1:8" ht="15.75" customHeight="1">
      <c r="A125" s="47">
        <v>44489</v>
      </c>
      <c r="B125" s="37" t="s">
        <v>42</v>
      </c>
      <c r="C125" s="80" t="s">
        <v>170</v>
      </c>
      <c r="D125" s="28" t="s">
        <v>171</v>
      </c>
      <c r="E125" s="80">
        <v>9678906</v>
      </c>
      <c r="F125" s="84">
        <f t="shared" si="12"/>
        <v>1983614</v>
      </c>
      <c r="G125" s="19"/>
      <c r="H125" s="60" t="s">
        <v>172</v>
      </c>
    </row>
    <row r="126" spans="1:8" ht="15.75" customHeight="1">
      <c r="A126" s="47">
        <v>44489</v>
      </c>
      <c r="B126" s="37" t="s">
        <v>35</v>
      </c>
      <c r="C126" s="80" t="s">
        <v>170</v>
      </c>
      <c r="D126" s="28" t="s">
        <v>173</v>
      </c>
      <c r="E126" s="80">
        <v>9678907</v>
      </c>
      <c r="F126" s="84">
        <f t="shared" si="12"/>
        <v>1983614</v>
      </c>
      <c r="G126" s="19"/>
      <c r="H126" s="60" t="s">
        <v>172</v>
      </c>
    </row>
    <row r="127" spans="1:8" ht="15.75" customHeight="1">
      <c r="A127" s="47">
        <v>44489</v>
      </c>
      <c r="B127" s="82" t="s">
        <v>149</v>
      </c>
      <c r="C127" s="83" t="s">
        <v>365</v>
      </c>
      <c r="D127" s="28" t="s">
        <v>174</v>
      </c>
      <c r="E127" s="82">
        <v>9678908</v>
      </c>
      <c r="F127" s="85">
        <f>3214180</f>
        <v>3214180</v>
      </c>
      <c r="G127" s="19"/>
      <c r="H127" s="86" t="s">
        <v>366</v>
      </c>
    </row>
    <row r="128" spans="1:8" ht="15.75" customHeight="1">
      <c r="A128" s="47">
        <v>44489</v>
      </c>
      <c r="B128" s="37" t="s">
        <v>178</v>
      </c>
      <c r="C128" s="82" t="s">
        <v>179</v>
      </c>
      <c r="D128" s="28" t="s">
        <v>176</v>
      </c>
      <c r="E128" s="80">
        <v>9678909</v>
      </c>
      <c r="F128" s="84">
        <f>646800</f>
        <v>646800</v>
      </c>
      <c r="G128" s="19"/>
      <c r="H128" s="60" t="s">
        <v>367</v>
      </c>
    </row>
    <row r="129" spans="1:8" ht="15.75" customHeight="1">
      <c r="A129" s="47">
        <v>44489</v>
      </c>
      <c r="B129" s="80" t="s">
        <v>182</v>
      </c>
      <c r="C129" s="80" t="s">
        <v>183</v>
      </c>
      <c r="D129" s="28" t="s">
        <v>180</v>
      </c>
      <c r="E129" s="80">
        <v>9678910</v>
      </c>
      <c r="F129" s="84">
        <f>85000</f>
        <v>85000</v>
      </c>
      <c r="G129" s="19"/>
      <c r="H129" s="44" t="s">
        <v>108</v>
      </c>
    </row>
    <row r="130" spans="1:8" ht="15.75" customHeight="1">
      <c r="A130" s="47"/>
      <c r="B130" s="37"/>
      <c r="C130" s="52"/>
      <c r="D130" s="55"/>
      <c r="E130" s="29"/>
      <c r="F130" s="39"/>
      <c r="G130" s="19"/>
      <c r="H130" s="57"/>
    </row>
    <row r="131" spans="1:8" ht="15.75" customHeight="1">
      <c r="A131" s="47"/>
      <c r="B131" s="37"/>
      <c r="C131" s="45"/>
      <c r="D131" s="55"/>
      <c r="E131" s="42"/>
      <c r="F131" s="39"/>
      <c r="G131" s="19"/>
      <c r="H131" s="60"/>
    </row>
    <row r="132" spans="1:8" ht="15.75" customHeight="1">
      <c r="A132" s="47"/>
      <c r="B132" s="52"/>
      <c r="C132" s="22"/>
      <c r="D132" s="55"/>
      <c r="E132" s="24"/>
      <c r="F132" s="32"/>
      <c r="G132" s="32"/>
      <c r="H132" s="20"/>
    </row>
    <row r="133" spans="1:8" ht="15.75" customHeight="1"/>
    <row r="134" spans="1:8" ht="15.75" customHeight="1"/>
    <row r="135" spans="1:8" ht="15.75" customHeight="1"/>
    <row r="136" spans="1:8" ht="15.75" customHeight="1"/>
    <row r="137" spans="1:8" ht="15.75" customHeight="1"/>
    <row r="138" spans="1:8" ht="15.75" customHeight="1"/>
    <row r="139" spans="1:8" ht="15.75" customHeight="1"/>
    <row r="140" spans="1:8" ht="15.75" customHeight="1"/>
    <row r="141" spans="1:8" ht="15.75" customHeight="1"/>
    <row r="142" spans="1:8" ht="15.75" customHeight="1"/>
    <row r="143" spans="1:8" ht="15.75" customHeight="1"/>
    <row r="144" spans="1:8"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F9:G9"/>
    <mergeCell ref="H9:H10"/>
    <mergeCell ref="B116:E116"/>
    <mergeCell ref="A7:H7"/>
    <mergeCell ref="A8:H8"/>
    <mergeCell ref="A9:A10"/>
    <mergeCell ref="B9:B10"/>
    <mergeCell ref="C9:C10"/>
    <mergeCell ref="D9:D10"/>
    <mergeCell ref="E9:E10"/>
    <mergeCell ref="B11:E11"/>
  </mergeCells>
  <pageMargins left="0" right="0" top="0.74803149606299213" bottom="0.74803149606299213" header="0" footer="0"/>
  <pageSetup paperSize="9"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000"/>
  <sheetViews>
    <sheetView workbookViewId="0"/>
  </sheetViews>
  <sheetFormatPr defaultColWidth="14.42578125" defaultRowHeight="15" customHeight="1"/>
  <cols>
    <col min="1" max="1" width="42.85546875" customWidth="1"/>
    <col min="2" max="2" width="12.42578125" customWidth="1"/>
    <col min="3" max="3" width="9.140625" customWidth="1"/>
    <col min="4" max="4" width="10.5703125" customWidth="1"/>
    <col min="5" max="5" width="12.28515625" customWidth="1"/>
    <col min="6" max="6" width="12.5703125" customWidth="1"/>
    <col min="7" max="10" width="11.42578125" customWidth="1"/>
    <col min="11" max="11" width="15.140625" customWidth="1"/>
    <col min="12" max="13" width="9.140625" customWidth="1"/>
    <col min="14" max="26" width="10.7109375" customWidth="1"/>
  </cols>
  <sheetData>
    <row r="1" spans="1:11">
      <c r="A1" s="556" t="s">
        <v>449</v>
      </c>
      <c r="B1" s="1050" t="s">
        <v>1221</v>
      </c>
      <c r="C1" s="1051"/>
      <c r="D1" s="1051"/>
      <c r="E1" s="1051"/>
      <c r="F1" s="1051"/>
      <c r="G1" s="557"/>
      <c r="H1" s="557"/>
      <c r="I1" s="557"/>
      <c r="J1" s="557"/>
      <c r="K1" s="558"/>
    </row>
    <row r="2" spans="1:11">
      <c r="A2" s="304"/>
      <c r="B2" s="1052" t="s">
        <v>1222</v>
      </c>
      <c r="C2" s="935"/>
      <c r="D2" s="935"/>
      <c r="E2" s="935"/>
      <c r="F2" s="935"/>
      <c r="G2" s="935"/>
      <c r="H2" s="935"/>
      <c r="I2" s="935"/>
      <c r="J2" s="559"/>
      <c r="K2" s="560"/>
    </row>
    <row r="3" spans="1:11">
      <c r="A3" s="304"/>
      <c r="B3" s="561"/>
      <c r="C3" s="562"/>
      <c r="D3" s="562"/>
      <c r="E3" s="562"/>
      <c r="F3" s="562"/>
      <c r="G3" s="563"/>
      <c r="H3" s="564"/>
      <c r="I3" s="564"/>
      <c r="J3" s="564"/>
      <c r="K3" s="565"/>
    </row>
    <row r="4" spans="1:11" ht="45" customHeight="1">
      <c r="A4" s="566" t="s">
        <v>1264</v>
      </c>
      <c r="B4" s="1053" t="s">
        <v>1224</v>
      </c>
      <c r="C4" s="1054"/>
      <c r="D4" s="1054"/>
      <c r="E4" s="1055"/>
      <c r="F4" s="567" t="s">
        <v>1225</v>
      </c>
      <c r="G4" s="1056" t="s">
        <v>1226</v>
      </c>
      <c r="H4" s="1054"/>
      <c r="I4" s="1054"/>
      <c r="J4" s="1054"/>
      <c r="K4" s="1055"/>
    </row>
    <row r="5" spans="1:11" ht="61.5" customHeight="1">
      <c r="A5" s="568" t="s">
        <v>1227</v>
      </c>
      <c r="B5" s="569" t="s">
        <v>735</v>
      </c>
      <c r="C5" s="570" t="s">
        <v>1228</v>
      </c>
      <c r="D5" s="571" t="s">
        <v>734</v>
      </c>
      <c r="E5" s="572" t="s">
        <v>1229</v>
      </c>
      <c r="F5" s="573" t="s">
        <v>1230</v>
      </c>
      <c r="G5" s="570" t="s">
        <v>1228</v>
      </c>
      <c r="H5" s="571" t="s">
        <v>734</v>
      </c>
      <c r="I5" s="572" t="s">
        <v>1265</v>
      </c>
      <c r="J5" s="574" t="s">
        <v>1266</v>
      </c>
      <c r="K5" s="575" t="s">
        <v>1267</v>
      </c>
    </row>
    <row r="6" spans="1:11">
      <c r="A6" s="576"/>
      <c r="B6" s="577"/>
      <c r="C6" s="577" t="s">
        <v>1234</v>
      </c>
      <c r="D6" s="577" t="s">
        <v>1235</v>
      </c>
      <c r="E6" s="578" t="s">
        <v>1236</v>
      </c>
      <c r="F6" s="579"/>
      <c r="G6" s="577" t="s">
        <v>1234</v>
      </c>
      <c r="H6" s="577" t="s">
        <v>1235</v>
      </c>
      <c r="I6" s="578" t="s">
        <v>1236</v>
      </c>
      <c r="J6" s="580" t="s">
        <v>1237</v>
      </c>
      <c r="K6" s="581" t="s">
        <v>1238</v>
      </c>
    </row>
    <row r="7" spans="1:11" ht="13.5" customHeight="1">
      <c r="A7" s="582" t="s">
        <v>743</v>
      </c>
      <c r="B7" s="445"/>
      <c r="C7" s="286"/>
      <c r="D7" s="286"/>
      <c r="E7" s="583"/>
      <c r="F7" s="584"/>
      <c r="G7" s="585"/>
      <c r="H7" s="586"/>
      <c r="I7" s="586"/>
      <c r="J7" s="587"/>
      <c r="K7" s="588"/>
    </row>
    <row r="8" spans="1:11" ht="25.5" customHeight="1">
      <c r="A8" s="589" t="s">
        <v>1268</v>
      </c>
      <c r="B8" s="590" t="s">
        <v>745</v>
      </c>
      <c r="C8" s="591">
        <f>C9+C21</f>
        <v>365</v>
      </c>
      <c r="D8" s="591">
        <v>2999</v>
      </c>
      <c r="E8" s="592">
        <f>E9+E21</f>
        <v>1051400</v>
      </c>
      <c r="F8" s="593"/>
      <c r="G8" s="594"/>
      <c r="H8" s="595"/>
      <c r="I8" s="596" t="e">
        <f t="shared" ref="I8:I9" si="0">#REF!</f>
        <v>#REF!</v>
      </c>
      <c r="J8" s="597" t="e">
        <f>'Jan-Mar 16'!K8</f>
        <v>#REF!</v>
      </c>
      <c r="K8" s="598" t="e">
        <f t="shared" ref="K8:K19" si="1">I8+J8</f>
        <v>#REF!</v>
      </c>
    </row>
    <row r="9" spans="1:11" ht="13.5" customHeight="1">
      <c r="A9" s="589" t="s">
        <v>1107</v>
      </c>
      <c r="B9" s="590" t="s">
        <v>745</v>
      </c>
      <c r="C9" s="591">
        <f>SUM(C10:C19)</f>
        <v>239</v>
      </c>
      <c r="D9" s="591">
        <f>E9/C9</f>
        <v>2914.2259414225941</v>
      </c>
      <c r="E9" s="592">
        <f>SUM(E10:E19)</f>
        <v>696500</v>
      </c>
      <c r="F9" s="593"/>
      <c r="G9" s="594"/>
      <c r="H9" s="595"/>
      <c r="I9" s="596" t="e">
        <f t="shared" si="0"/>
        <v>#REF!</v>
      </c>
      <c r="J9" s="597" t="e">
        <f>'Jan-Mar 16'!K9</f>
        <v>#REF!</v>
      </c>
      <c r="K9" s="598" t="e">
        <f t="shared" si="1"/>
        <v>#REF!</v>
      </c>
    </row>
    <row r="10" spans="1:11" ht="14.25" customHeight="1">
      <c r="A10" s="589" t="s">
        <v>1108</v>
      </c>
      <c r="B10" s="590" t="s">
        <v>745</v>
      </c>
      <c r="C10" s="591">
        <v>36</v>
      </c>
      <c r="D10" s="591">
        <v>3500</v>
      </c>
      <c r="E10" s="599">
        <f t="shared" ref="E10:E19" si="2">C10*D10</f>
        <v>126000</v>
      </c>
      <c r="F10" s="584"/>
      <c r="G10" s="600">
        <v>0</v>
      </c>
      <c r="H10" s="595">
        <v>2500</v>
      </c>
      <c r="I10" s="595">
        <f t="shared" ref="I10:I18" si="3">G10*H10</f>
        <v>0</v>
      </c>
      <c r="J10" s="601" t="e">
        <f>'Jan-Mar 16'!K10</f>
        <v>#REF!</v>
      </c>
      <c r="K10" s="602" t="e">
        <f t="shared" si="1"/>
        <v>#REF!</v>
      </c>
    </row>
    <row r="11" spans="1:11" ht="13.5" customHeight="1">
      <c r="A11" s="589" t="s">
        <v>1109</v>
      </c>
      <c r="B11" s="590" t="s">
        <v>745</v>
      </c>
      <c r="C11" s="591">
        <v>36</v>
      </c>
      <c r="D11" s="591">
        <v>3500</v>
      </c>
      <c r="E11" s="599">
        <f t="shared" si="2"/>
        <v>126000</v>
      </c>
      <c r="F11" s="584"/>
      <c r="G11" s="600">
        <v>3</v>
      </c>
      <c r="H11" s="595">
        <v>3500</v>
      </c>
      <c r="I11" s="595">
        <f t="shared" si="3"/>
        <v>10500</v>
      </c>
      <c r="J11" s="601" t="e">
        <f>'Jan-Mar 16'!K11</f>
        <v>#REF!</v>
      </c>
      <c r="K11" s="602" t="e">
        <f t="shared" si="1"/>
        <v>#REF!</v>
      </c>
    </row>
    <row r="12" spans="1:11" ht="13.5" customHeight="1">
      <c r="A12" s="589" t="s">
        <v>1110</v>
      </c>
      <c r="B12" s="590" t="s">
        <v>745</v>
      </c>
      <c r="C12" s="591">
        <v>36</v>
      </c>
      <c r="D12" s="591">
        <v>2750</v>
      </c>
      <c r="E12" s="599">
        <f t="shared" si="2"/>
        <v>99000</v>
      </c>
      <c r="F12" s="584"/>
      <c r="G12" s="600">
        <v>3</v>
      </c>
      <c r="H12" s="595">
        <v>2750</v>
      </c>
      <c r="I12" s="595">
        <f t="shared" si="3"/>
        <v>8250</v>
      </c>
      <c r="J12" s="601" t="e">
        <f>'Jan-Mar 16'!K12</f>
        <v>#REF!</v>
      </c>
      <c r="K12" s="602" t="e">
        <f t="shared" si="1"/>
        <v>#REF!</v>
      </c>
    </row>
    <row r="13" spans="1:11" ht="16.5" customHeight="1">
      <c r="A13" s="589" t="s">
        <v>1111</v>
      </c>
      <c r="B13" s="590" t="s">
        <v>745</v>
      </c>
      <c r="C13" s="591">
        <v>36</v>
      </c>
      <c r="D13" s="591">
        <v>3000</v>
      </c>
      <c r="E13" s="599">
        <f t="shared" si="2"/>
        <v>108000</v>
      </c>
      <c r="F13" s="584"/>
      <c r="G13" s="600">
        <v>0</v>
      </c>
      <c r="H13" s="595">
        <v>3000</v>
      </c>
      <c r="I13" s="595">
        <f t="shared" si="3"/>
        <v>0</v>
      </c>
      <c r="J13" s="601" t="e">
        <f>'Jan-Mar 16'!K13</f>
        <v>#REF!</v>
      </c>
      <c r="K13" s="602" t="e">
        <f t="shared" si="1"/>
        <v>#REF!</v>
      </c>
    </row>
    <row r="14" spans="1:11" ht="15.75" customHeight="1">
      <c r="A14" s="589" t="s">
        <v>1112</v>
      </c>
      <c r="B14" s="590" t="s">
        <v>745</v>
      </c>
      <c r="C14" s="591">
        <v>12</v>
      </c>
      <c r="D14" s="591">
        <v>2500</v>
      </c>
      <c r="E14" s="599">
        <f t="shared" si="2"/>
        <v>30000</v>
      </c>
      <c r="F14" s="584"/>
      <c r="G14" s="600">
        <v>0</v>
      </c>
      <c r="H14" s="595">
        <v>2500</v>
      </c>
      <c r="I14" s="595">
        <f t="shared" si="3"/>
        <v>0</v>
      </c>
      <c r="J14" s="601" t="e">
        <f>'Jan-Mar 16'!K14</f>
        <v>#REF!</v>
      </c>
      <c r="K14" s="602" t="e">
        <f t="shared" si="1"/>
        <v>#REF!</v>
      </c>
    </row>
    <row r="15" spans="1:11" ht="16.5" customHeight="1">
      <c r="A15" s="589" t="s">
        <v>1113</v>
      </c>
      <c r="B15" s="590" t="s">
        <v>745</v>
      </c>
      <c r="C15" s="591">
        <v>12</v>
      </c>
      <c r="D15" s="591">
        <v>2500</v>
      </c>
      <c r="E15" s="599">
        <f t="shared" si="2"/>
        <v>30000</v>
      </c>
      <c r="F15" s="584"/>
      <c r="G15" s="600">
        <v>0</v>
      </c>
      <c r="H15" s="595">
        <v>2500</v>
      </c>
      <c r="I15" s="595">
        <f t="shared" si="3"/>
        <v>0</v>
      </c>
      <c r="J15" s="601" t="e">
        <f>'Jan-Mar 16'!K15</f>
        <v>#REF!</v>
      </c>
      <c r="K15" s="602" t="e">
        <f t="shared" si="1"/>
        <v>#REF!</v>
      </c>
    </row>
    <row r="16" spans="1:11" ht="16.5" customHeight="1">
      <c r="A16" s="589" t="s">
        <v>1114</v>
      </c>
      <c r="B16" s="590" t="s">
        <v>745</v>
      </c>
      <c r="C16" s="591">
        <v>9</v>
      </c>
      <c r="D16" s="591">
        <v>2500</v>
      </c>
      <c r="E16" s="599">
        <f t="shared" si="2"/>
        <v>22500</v>
      </c>
      <c r="F16" s="584"/>
      <c r="G16" s="600">
        <v>0</v>
      </c>
      <c r="H16" s="595">
        <v>2500</v>
      </c>
      <c r="I16" s="595">
        <f t="shared" si="3"/>
        <v>0</v>
      </c>
      <c r="J16" s="601" t="e">
        <f>'Jan-Mar 16'!K16</f>
        <v>#REF!</v>
      </c>
      <c r="K16" s="602" t="e">
        <f t="shared" si="1"/>
        <v>#REF!</v>
      </c>
    </row>
    <row r="17" spans="1:13" ht="16.5" customHeight="1">
      <c r="A17" s="589" t="s">
        <v>1115</v>
      </c>
      <c r="B17" s="590" t="s">
        <v>745</v>
      </c>
      <c r="C17" s="591">
        <v>9</v>
      </c>
      <c r="D17" s="591">
        <v>2500</v>
      </c>
      <c r="E17" s="599">
        <f t="shared" si="2"/>
        <v>22500</v>
      </c>
      <c r="F17" s="584"/>
      <c r="G17" s="600">
        <v>0</v>
      </c>
      <c r="H17" s="595">
        <v>2500</v>
      </c>
      <c r="I17" s="595">
        <f t="shared" si="3"/>
        <v>0</v>
      </c>
      <c r="J17" s="601" t="e">
        <f>'Jan-Mar 16'!K17</f>
        <v>#REF!</v>
      </c>
      <c r="K17" s="602" t="e">
        <f t="shared" si="1"/>
        <v>#REF!</v>
      </c>
    </row>
    <row r="18" spans="1:13" ht="12.75" customHeight="1">
      <c r="A18" s="589" t="s">
        <v>1116</v>
      </c>
      <c r="B18" s="590" t="s">
        <v>745</v>
      </c>
      <c r="C18" s="591">
        <v>9</v>
      </c>
      <c r="D18" s="591">
        <v>2500</v>
      </c>
      <c r="E18" s="599">
        <f t="shared" si="2"/>
        <v>22500</v>
      </c>
      <c r="F18" s="584"/>
      <c r="G18" s="600">
        <v>0</v>
      </c>
      <c r="H18" s="595">
        <v>2500</v>
      </c>
      <c r="I18" s="595">
        <f t="shared" si="3"/>
        <v>0</v>
      </c>
      <c r="J18" s="601" t="e">
        <f>'Jan-Mar 16'!K18</f>
        <v>#REF!</v>
      </c>
      <c r="K18" s="602" t="e">
        <f t="shared" si="1"/>
        <v>#REF!</v>
      </c>
    </row>
    <row r="19" spans="1:13" ht="15.75" customHeight="1">
      <c r="A19" s="589" t="s">
        <v>1240</v>
      </c>
      <c r="B19" s="590" t="s">
        <v>745</v>
      </c>
      <c r="C19" s="591">
        <v>44</v>
      </c>
      <c r="D19" s="591">
        <v>2500</v>
      </c>
      <c r="E19" s="599">
        <f t="shared" si="2"/>
        <v>110000</v>
      </c>
      <c r="F19" s="584"/>
      <c r="G19" s="600" t="e">
        <f>I19/H19</f>
        <v>#REF!</v>
      </c>
      <c r="H19" s="595">
        <v>2500</v>
      </c>
      <c r="I19" s="595" t="e">
        <f>#REF!</f>
        <v>#REF!</v>
      </c>
      <c r="J19" s="601" t="e">
        <f>'Jan-Mar 16'!K19</f>
        <v>#REF!</v>
      </c>
      <c r="K19" s="602" t="e">
        <f t="shared" si="1"/>
        <v>#REF!</v>
      </c>
      <c r="L19" s="185"/>
      <c r="M19" s="185"/>
    </row>
    <row r="20" spans="1:13">
      <c r="A20" s="276"/>
      <c r="B20" s="603"/>
      <c r="C20" s="604"/>
      <c r="D20" s="604"/>
      <c r="E20" s="604"/>
      <c r="F20" s="584"/>
      <c r="G20" s="594"/>
      <c r="H20" s="595"/>
      <c r="I20" s="595"/>
      <c r="J20" s="601"/>
      <c r="K20" s="605"/>
    </row>
    <row r="21" spans="1:13" ht="13.5" customHeight="1">
      <c r="A21" s="589" t="s">
        <v>1118</v>
      </c>
      <c r="B21" s="590" t="s">
        <v>745</v>
      </c>
      <c r="C21" s="591">
        <f>SUM(C22:C25)</f>
        <v>126</v>
      </c>
      <c r="D21" s="591">
        <f>E21/C21</f>
        <v>2816.6666666666665</v>
      </c>
      <c r="E21" s="592">
        <f>SUM(E22:E25)</f>
        <v>354900</v>
      </c>
      <c r="F21" s="606"/>
      <c r="G21" s="594"/>
      <c r="H21" s="595"/>
      <c r="I21" s="596" t="e">
        <f t="shared" ref="I21:I25" si="4">#REF!</f>
        <v>#REF!</v>
      </c>
      <c r="J21" s="597" t="e">
        <f>'Jan-Mar 16'!K21</f>
        <v>#REF!</v>
      </c>
      <c r="K21" s="598" t="e">
        <f t="shared" ref="K21:K25" si="5">I21+J21</f>
        <v>#REF!</v>
      </c>
    </row>
    <row r="22" spans="1:13" ht="13.5" customHeight="1">
      <c r="A22" s="589" t="s">
        <v>1119</v>
      </c>
      <c r="B22" s="590" t="s">
        <v>745</v>
      </c>
      <c r="C22" s="591">
        <v>36</v>
      </c>
      <c r="D22" s="591">
        <v>3650</v>
      </c>
      <c r="E22" s="599">
        <f t="shared" ref="E22:E25" si="6">C22*D22</f>
        <v>131400</v>
      </c>
      <c r="F22" s="584"/>
      <c r="G22" s="594">
        <f>3</f>
        <v>3</v>
      </c>
      <c r="H22" s="595">
        <v>3650</v>
      </c>
      <c r="I22" s="595" t="e">
        <f t="shared" si="4"/>
        <v>#REF!</v>
      </c>
      <c r="J22" s="601" t="e">
        <f>'Jan-Mar 16'!K22</f>
        <v>#REF!</v>
      </c>
      <c r="K22" s="602" t="e">
        <f t="shared" si="5"/>
        <v>#REF!</v>
      </c>
    </row>
    <row r="23" spans="1:13" ht="13.5" customHeight="1">
      <c r="A23" s="589" t="s">
        <v>1120</v>
      </c>
      <c r="B23" s="590" t="s">
        <v>745</v>
      </c>
      <c r="C23" s="591">
        <v>36</v>
      </c>
      <c r="D23" s="591">
        <v>2750</v>
      </c>
      <c r="E23" s="599">
        <f t="shared" si="6"/>
        <v>99000</v>
      </c>
      <c r="F23" s="584"/>
      <c r="G23" s="594">
        <v>3</v>
      </c>
      <c r="H23" s="595">
        <v>2750</v>
      </c>
      <c r="I23" s="595" t="e">
        <f t="shared" si="4"/>
        <v>#REF!</v>
      </c>
      <c r="J23" s="601" t="e">
        <f>'Jan-Mar 16'!K23</f>
        <v>#REF!</v>
      </c>
      <c r="K23" s="602" t="e">
        <f t="shared" si="5"/>
        <v>#REF!</v>
      </c>
    </row>
    <row r="24" spans="1:13" ht="13.5" customHeight="1">
      <c r="A24" s="589" t="s">
        <v>1121</v>
      </c>
      <c r="B24" s="590" t="s">
        <v>745</v>
      </c>
      <c r="C24" s="591">
        <v>24</v>
      </c>
      <c r="D24" s="591">
        <v>2250</v>
      </c>
      <c r="E24" s="599">
        <f t="shared" si="6"/>
        <v>54000</v>
      </c>
      <c r="F24" s="584"/>
      <c r="G24" s="594">
        <v>3</v>
      </c>
      <c r="H24" s="595">
        <v>2250</v>
      </c>
      <c r="I24" s="595" t="e">
        <f t="shared" si="4"/>
        <v>#REF!</v>
      </c>
      <c r="J24" s="601" t="e">
        <f>'Jan-Mar 16'!K24</f>
        <v>#REF!</v>
      </c>
      <c r="K24" s="602" t="e">
        <f t="shared" si="5"/>
        <v>#REF!</v>
      </c>
    </row>
    <row r="25" spans="1:13" ht="24" customHeight="1">
      <c r="A25" s="589" t="s">
        <v>1122</v>
      </c>
      <c r="B25" s="590" t="s">
        <v>745</v>
      </c>
      <c r="C25" s="591">
        <v>30</v>
      </c>
      <c r="D25" s="591">
        <v>2350</v>
      </c>
      <c r="E25" s="599">
        <f t="shared" si="6"/>
        <v>70500</v>
      </c>
      <c r="F25" s="584"/>
      <c r="G25" s="594">
        <v>3</v>
      </c>
      <c r="H25" s="595">
        <v>770</v>
      </c>
      <c r="I25" s="595" t="e">
        <f t="shared" si="4"/>
        <v>#REF!</v>
      </c>
      <c r="J25" s="601" t="e">
        <f>'Jan-Mar 16'!K25</f>
        <v>#REF!</v>
      </c>
      <c r="K25" s="602" t="e">
        <f t="shared" si="5"/>
        <v>#REF!</v>
      </c>
    </row>
    <row r="26" spans="1:13" ht="27" customHeight="1">
      <c r="A26" s="589" t="s">
        <v>1241</v>
      </c>
      <c r="B26" s="590" t="s">
        <v>745</v>
      </c>
      <c r="C26" s="591">
        <f t="shared" ref="C26:E26" si="7">C27</f>
        <v>0</v>
      </c>
      <c r="D26" s="591">
        <f t="shared" si="7"/>
        <v>0</v>
      </c>
      <c r="E26" s="599">
        <f t="shared" si="7"/>
        <v>0</v>
      </c>
      <c r="F26" s="584"/>
      <c r="G26" s="594"/>
      <c r="H26" s="595"/>
      <c r="I26" s="596"/>
      <c r="J26" s="601"/>
      <c r="K26" s="602"/>
    </row>
    <row r="27" spans="1:13" ht="15.75" customHeight="1">
      <c r="A27" s="589" t="s">
        <v>1124</v>
      </c>
      <c r="B27" s="590" t="s">
        <v>1125</v>
      </c>
      <c r="C27" s="591">
        <v>0</v>
      </c>
      <c r="D27" s="591">
        <v>0</v>
      </c>
      <c r="E27" s="599">
        <v>0</v>
      </c>
      <c r="F27" s="607"/>
      <c r="G27" s="594"/>
      <c r="H27" s="595"/>
      <c r="I27" s="596"/>
      <c r="J27" s="601"/>
      <c r="K27" s="602"/>
    </row>
    <row r="28" spans="1:13" ht="16.5" customHeight="1">
      <c r="A28" s="589" t="s">
        <v>1269</v>
      </c>
      <c r="B28" s="590"/>
      <c r="C28" s="591">
        <v>1.6579999999999999</v>
      </c>
      <c r="D28" s="591">
        <v>150</v>
      </c>
      <c r="E28" s="592">
        <f>+E29+E35+E36</f>
        <v>278550</v>
      </c>
      <c r="F28" s="593"/>
      <c r="G28" s="594"/>
      <c r="H28" s="595">
        <v>150</v>
      </c>
      <c r="I28" s="596" t="e">
        <f>I29+I35+I36</f>
        <v>#REF!</v>
      </c>
      <c r="J28" s="596" t="e">
        <f>'Jan-Mar 16'!K28</f>
        <v>#REF!</v>
      </c>
      <c r="K28" s="598" t="e">
        <f t="shared" ref="K28:K33" si="8">I28+J28</f>
        <v>#REF!</v>
      </c>
    </row>
    <row r="29" spans="1:13" ht="15.75" customHeight="1">
      <c r="A29" s="608" t="s">
        <v>778</v>
      </c>
      <c r="B29" s="603" t="s">
        <v>779</v>
      </c>
      <c r="C29" s="604">
        <f>SUM(C30:C33)</f>
        <v>130</v>
      </c>
      <c r="D29" s="604">
        <f>E29/C29</f>
        <v>150</v>
      </c>
      <c r="E29" s="609">
        <f>SUM(E30:E33)</f>
        <v>19500</v>
      </c>
      <c r="F29" s="610"/>
      <c r="G29" s="650" t="e">
        <f>I29/H29</f>
        <v>#REF!</v>
      </c>
      <c r="H29" s="595">
        <v>150</v>
      </c>
      <c r="I29" s="596" t="e">
        <f>I30+I31+I32+I33</f>
        <v>#REF!</v>
      </c>
      <c r="J29" s="595" t="e">
        <f>'Jan-Mar 16'!K29</f>
        <v>#REF!</v>
      </c>
      <c r="K29" s="602" t="e">
        <f t="shared" si="8"/>
        <v>#REF!</v>
      </c>
    </row>
    <row r="30" spans="1:13" ht="15" customHeight="1">
      <c r="A30" s="589" t="s">
        <v>1128</v>
      </c>
      <c r="B30" s="590" t="s">
        <v>779</v>
      </c>
      <c r="C30" s="591">
        <v>0</v>
      </c>
      <c r="D30" s="591">
        <v>0</v>
      </c>
      <c r="E30" s="599">
        <f t="shared" ref="E30:E33" si="9">C30*D30</f>
        <v>0</v>
      </c>
      <c r="F30" s="607"/>
      <c r="G30" s="650"/>
      <c r="H30" s="595"/>
      <c r="I30" s="595" t="e">
        <f t="shared" ref="I30:I33" si="10">#REF!</f>
        <v>#REF!</v>
      </c>
      <c r="J30" s="595" t="e">
        <f>'Jan-Mar 16'!K30</f>
        <v>#REF!</v>
      </c>
      <c r="K30" s="602" t="e">
        <f t="shared" si="8"/>
        <v>#REF!</v>
      </c>
    </row>
    <row r="31" spans="1:13" ht="16.5" customHeight="1">
      <c r="A31" s="589" t="s">
        <v>1129</v>
      </c>
      <c r="B31" s="590" t="s">
        <v>779</v>
      </c>
      <c r="C31" s="591">
        <v>30</v>
      </c>
      <c r="D31" s="591">
        <v>150</v>
      </c>
      <c r="E31" s="599">
        <f t="shared" si="9"/>
        <v>4500</v>
      </c>
      <c r="F31" s="584"/>
      <c r="G31" s="650" t="e">
        <f t="shared" ref="G31:G33" si="11">I31/H31</f>
        <v>#REF!</v>
      </c>
      <c r="H31" s="595">
        <v>150</v>
      </c>
      <c r="I31" s="595" t="e">
        <f t="shared" si="10"/>
        <v>#REF!</v>
      </c>
      <c r="J31" s="595" t="e">
        <f>'Jan-Mar 16'!K31</f>
        <v>#REF!</v>
      </c>
      <c r="K31" s="602" t="e">
        <f t="shared" si="8"/>
        <v>#REF!</v>
      </c>
    </row>
    <row r="32" spans="1:13" ht="12.75" customHeight="1">
      <c r="A32" s="589" t="s">
        <v>1130</v>
      </c>
      <c r="B32" s="590" t="s">
        <v>779</v>
      </c>
      <c r="C32" s="591">
        <v>50</v>
      </c>
      <c r="D32" s="591">
        <v>150</v>
      </c>
      <c r="E32" s="599">
        <f t="shared" si="9"/>
        <v>7500</v>
      </c>
      <c r="F32" s="584"/>
      <c r="G32" s="650" t="e">
        <f t="shared" si="11"/>
        <v>#REF!</v>
      </c>
      <c r="H32" s="595">
        <v>150</v>
      </c>
      <c r="I32" s="595" t="e">
        <f t="shared" si="10"/>
        <v>#REF!</v>
      </c>
      <c r="J32" s="595" t="e">
        <f>'Jan-Mar 16'!K32</f>
        <v>#REF!</v>
      </c>
      <c r="K32" s="602" t="e">
        <f t="shared" si="8"/>
        <v>#REF!</v>
      </c>
    </row>
    <row r="33" spans="1:11" ht="15" customHeight="1">
      <c r="A33" s="589" t="s">
        <v>1131</v>
      </c>
      <c r="B33" s="590" t="s">
        <v>779</v>
      </c>
      <c r="C33" s="591">
        <v>50</v>
      </c>
      <c r="D33" s="591">
        <v>150</v>
      </c>
      <c r="E33" s="599">
        <f t="shared" si="9"/>
        <v>7500</v>
      </c>
      <c r="F33" s="584"/>
      <c r="G33" s="650" t="e">
        <f t="shared" si="11"/>
        <v>#REF!</v>
      </c>
      <c r="H33" s="595">
        <v>150</v>
      </c>
      <c r="I33" s="595" t="e">
        <f t="shared" si="10"/>
        <v>#REF!</v>
      </c>
      <c r="J33" s="595" t="e">
        <f>'Jan-Mar 16'!K33</f>
        <v>#REF!</v>
      </c>
      <c r="K33" s="602" t="e">
        <f t="shared" si="8"/>
        <v>#REF!</v>
      </c>
    </row>
    <row r="34" spans="1:11" ht="11.25" customHeight="1">
      <c r="A34" s="589"/>
      <c r="B34" s="590"/>
      <c r="C34" s="591"/>
      <c r="D34" s="591"/>
      <c r="E34" s="599"/>
      <c r="F34" s="607"/>
      <c r="G34" s="594"/>
      <c r="H34" s="595"/>
      <c r="I34" s="595"/>
      <c r="J34" s="601"/>
      <c r="K34" s="602"/>
    </row>
    <row r="35" spans="1:11" ht="14.25" customHeight="1">
      <c r="A35" s="608" t="s">
        <v>788</v>
      </c>
      <c r="B35" s="603" t="s">
        <v>779</v>
      </c>
      <c r="C35" s="604">
        <v>0</v>
      </c>
      <c r="D35" s="604">
        <v>0</v>
      </c>
      <c r="E35" s="611">
        <v>0</v>
      </c>
      <c r="F35" s="607"/>
      <c r="G35" s="594"/>
      <c r="H35" s="595"/>
      <c r="I35" s="595"/>
      <c r="J35" s="601"/>
      <c r="K35" s="602"/>
    </row>
    <row r="36" spans="1:11" ht="16.5" customHeight="1">
      <c r="A36" s="608" t="s">
        <v>1132</v>
      </c>
      <c r="B36" s="603" t="s">
        <v>779</v>
      </c>
      <c r="C36" s="604">
        <f>SUM(C37:C43)</f>
        <v>1727</v>
      </c>
      <c r="D36" s="604">
        <f>E36/C36</f>
        <v>150</v>
      </c>
      <c r="E36" s="609">
        <f>SUM(E37:E43)</f>
        <v>259050</v>
      </c>
      <c r="F36" s="612"/>
      <c r="G36" s="650" t="e">
        <f t="shared" ref="G36:G41" si="12">I36/H36</f>
        <v>#REF!</v>
      </c>
      <c r="H36" s="604">
        <v>150</v>
      </c>
      <c r="I36" s="596" t="e">
        <f t="shared" ref="I36:I43" si="13">#REF!</f>
        <v>#REF!</v>
      </c>
      <c r="J36" s="597" t="e">
        <f>'Jan-Mar 16'!K36</f>
        <v>#REF!</v>
      </c>
      <c r="K36" s="598" t="e">
        <f t="shared" ref="K36:K43" si="14">I36+J36</f>
        <v>#REF!</v>
      </c>
    </row>
    <row r="37" spans="1:11" ht="18" customHeight="1">
      <c r="A37" s="589" t="s">
        <v>1133</v>
      </c>
      <c r="B37" s="590" t="s">
        <v>779</v>
      </c>
      <c r="C37" s="591">
        <f t="shared" ref="C37:C38" si="15">25*7*2</f>
        <v>350</v>
      </c>
      <c r="D37" s="591">
        <v>150</v>
      </c>
      <c r="E37" s="599">
        <f t="shared" ref="E37:E43" si="16">C37*D37</f>
        <v>52500</v>
      </c>
      <c r="F37" s="584"/>
      <c r="G37" s="650" t="e">
        <f t="shared" si="12"/>
        <v>#REF!</v>
      </c>
      <c r="H37" s="591">
        <v>150</v>
      </c>
      <c r="I37" s="595" t="e">
        <f t="shared" si="13"/>
        <v>#REF!</v>
      </c>
      <c r="J37" s="601" t="e">
        <f>'Jan-Mar 16'!K37</f>
        <v>#REF!</v>
      </c>
      <c r="K37" s="602" t="e">
        <f t="shared" si="14"/>
        <v>#REF!</v>
      </c>
    </row>
    <row r="38" spans="1:11" ht="15.75" customHeight="1">
      <c r="A38" s="589" t="s">
        <v>1134</v>
      </c>
      <c r="B38" s="590" t="s">
        <v>779</v>
      </c>
      <c r="C38" s="591">
        <f t="shared" si="15"/>
        <v>350</v>
      </c>
      <c r="D38" s="591">
        <v>150</v>
      </c>
      <c r="E38" s="599">
        <f t="shared" si="16"/>
        <v>52500</v>
      </c>
      <c r="F38" s="584"/>
      <c r="G38" s="650" t="e">
        <f t="shared" si="12"/>
        <v>#REF!</v>
      </c>
      <c r="H38" s="591">
        <v>150</v>
      </c>
      <c r="I38" s="595" t="e">
        <f t="shared" si="13"/>
        <v>#REF!</v>
      </c>
      <c r="J38" s="601" t="e">
        <f>'Jan-Mar 16'!K38</f>
        <v>#REF!</v>
      </c>
      <c r="K38" s="602" t="e">
        <f t="shared" si="14"/>
        <v>#REF!</v>
      </c>
    </row>
    <row r="39" spans="1:11" ht="15.75" customHeight="1">
      <c r="A39" s="589" t="s">
        <v>1135</v>
      </c>
      <c r="B39" s="590" t="s">
        <v>779</v>
      </c>
      <c r="C39" s="591">
        <f>22*7*2</f>
        <v>308</v>
      </c>
      <c r="D39" s="591">
        <v>150</v>
      </c>
      <c r="E39" s="599">
        <f t="shared" si="16"/>
        <v>46200</v>
      </c>
      <c r="F39" s="584"/>
      <c r="G39" s="650" t="e">
        <f t="shared" si="12"/>
        <v>#REF!</v>
      </c>
      <c r="H39" s="591">
        <v>150</v>
      </c>
      <c r="I39" s="595" t="e">
        <f t="shared" si="13"/>
        <v>#REF!</v>
      </c>
      <c r="J39" s="601" t="e">
        <f>'Jan-Mar 16'!K39</f>
        <v>#REF!</v>
      </c>
      <c r="K39" s="602" t="e">
        <f t="shared" si="14"/>
        <v>#REF!</v>
      </c>
    </row>
    <row r="40" spans="1:11" ht="12.75" customHeight="1">
      <c r="A40" s="589" t="s">
        <v>1136</v>
      </c>
      <c r="B40" s="590" t="s">
        <v>779</v>
      </c>
      <c r="C40" s="591">
        <f>16*7*2</f>
        <v>224</v>
      </c>
      <c r="D40" s="591">
        <v>150</v>
      </c>
      <c r="E40" s="599">
        <f t="shared" si="16"/>
        <v>33600</v>
      </c>
      <c r="F40" s="584"/>
      <c r="G40" s="650" t="e">
        <f t="shared" si="12"/>
        <v>#REF!</v>
      </c>
      <c r="H40" s="591">
        <v>150</v>
      </c>
      <c r="I40" s="595" t="e">
        <f t="shared" si="13"/>
        <v>#REF!</v>
      </c>
      <c r="J40" s="601" t="e">
        <f>'Jan-Mar 16'!K40</f>
        <v>#REF!</v>
      </c>
      <c r="K40" s="602" t="e">
        <f t="shared" si="14"/>
        <v>#REF!</v>
      </c>
    </row>
    <row r="41" spans="1:11" ht="15" customHeight="1">
      <c r="A41" s="589" t="s">
        <v>1137</v>
      </c>
      <c r="B41" s="590" t="s">
        <v>779</v>
      </c>
      <c r="C41" s="591">
        <f>18*7*2</f>
        <v>252</v>
      </c>
      <c r="D41" s="591">
        <v>150</v>
      </c>
      <c r="E41" s="599">
        <f t="shared" si="16"/>
        <v>37800</v>
      </c>
      <c r="F41" s="584"/>
      <c r="G41" s="650" t="e">
        <f t="shared" si="12"/>
        <v>#REF!</v>
      </c>
      <c r="H41" s="591">
        <v>150</v>
      </c>
      <c r="I41" s="595" t="e">
        <f t="shared" si="13"/>
        <v>#REF!</v>
      </c>
      <c r="J41" s="601" t="e">
        <f>'Jan-Mar 16'!K41</f>
        <v>#REF!</v>
      </c>
      <c r="K41" s="602" t="e">
        <f t="shared" si="14"/>
        <v>#REF!</v>
      </c>
    </row>
    <row r="42" spans="1:11" ht="12.75" customHeight="1">
      <c r="A42" s="589" t="s">
        <v>1138</v>
      </c>
      <c r="B42" s="590" t="s">
        <v>779</v>
      </c>
      <c r="C42" s="591">
        <v>0</v>
      </c>
      <c r="D42" s="591">
        <v>0</v>
      </c>
      <c r="E42" s="599">
        <f t="shared" si="16"/>
        <v>0</v>
      </c>
      <c r="F42" s="607"/>
      <c r="G42" s="594"/>
      <c r="H42" s="591">
        <v>0</v>
      </c>
      <c r="I42" s="595" t="e">
        <f t="shared" si="13"/>
        <v>#REF!</v>
      </c>
      <c r="J42" s="601" t="e">
        <f>'Jan-Mar 16'!K42</f>
        <v>#REF!</v>
      </c>
      <c r="K42" s="602" t="e">
        <f t="shared" si="14"/>
        <v>#REF!</v>
      </c>
    </row>
    <row r="43" spans="1:11" ht="15.75" customHeight="1">
      <c r="A43" s="589" t="s">
        <v>1139</v>
      </c>
      <c r="B43" s="590" t="s">
        <v>779</v>
      </c>
      <c r="C43" s="591">
        <f>(12+15)*3*3</f>
        <v>243</v>
      </c>
      <c r="D43" s="591">
        <v>150</v>
      </c>
      <c r="E43" s="599">
        <f t="shared" si="16"/>
        <v>36450</v>
      </c>
      <c r="F43" s="584"/>
      <c r="G43" s="594" t="e">
        <f>I43/H43</f>
        <v>#REF!</v>
      </c>
      <c r="H43" s="591">
        <v>150</v>
      </c>
      <c r="I43" s="595" t="e">
        <f t="shared" si="13"/>
        <v>#REF!</v>
      </c>
      <c r="J43" s="601" t="e">
        <f>'Jan-Mar 16'!K43</f>
        <v>#REF!</v>
      </c>
      <c r="K43" s="602" t="e">
        <f t="shared" si="14"/>
        <v>#REF!</v>
      </c>
    </row>
    <row r="44" spans="1:11" ht="9.75" customHeight="1">
      <c r="A44" s="608"/>
      <c r="B44" s="283"/>
      <c r="C44" s="273"/>
      <c r="D44" s="273"/>
      <c r="E44" s="613"/>
      <c r="F44" s="614"/>
      <c r="G44" s="594"/>
      <c r="H44" s="595"/>
      <c r="I44" s="595"/>
      <c r="J44" s="601"/>
      <c r="K44" s="602"/>
    </row>
    <row r="45" spans="1:11" ht="13.5" customHeight="1">
      <c r="A45" s="615" t="s">
        <v>794</v>
      </c>
      <c r="B45" s="616"/>
      <c r="C45" s="617"/>
      <c r="D45" s="618"/>
      <c r="E45" s="617">
        <f>E8+E26+E28</f>
        <v>1329950</v>
      </c>
      <c r="F45" s="618"/>
      <c r="G45" s="617"/>
      <c r="H45" s="617"/>
      <c r="I45" s="618" t="e">
        <f>I8+I26+I28</f>
        <v>#REF!</v>
      </c>
      <c r="J45" s="618" t="e">
        <f>'Jan-Mar 16'!K45</f>
        <v>#REF!</v>
      </c>
      <c r="K45" s="619" t="e">
        <f>I45+J45</f>
        <v>#REF!</v>
      </c>
    </row>
    <row r="46" spans="1:11" ht="15.75" customHeight="1">
      <c r="A46" s="582" t="s">
        <v>1243</v>
      </c>
      <c r="B46" s="445"/>
      <c r="C46" s="286"/>
      <c r="D46" s="286"/>
      <c r="E46" s="620"/>
      <c r="F46" s="584"/>
      <c r="G46" s="621"/>
      <c r="H46" s="596"/>
      <c r="I46" s="596"/>
      <c r="J46" s="597"/>
      <c r="K46" s="598"/>
    </row>
    <row r="47" spans="1:11" ht="13.5" customHeight="1">
      <c r="A47" s="608" t="s">
        <v>795</v>
      </c>
      <c r="B47" s="603" t="s">
        <v>796</v>
      </c>
      <c r="C47" s="604">
        <f>SUM(C48:C59)</f>
        <v>332</v>
      </c>
      <c r="D47" s="604">
        <f>E47/C47</f>
        <v>800</v>
      </c>
      <c r="E47" s="609">
        <f>SUM(E48:E59)</f>
        <v>265600</v>
      </c>
      <c r="F47" s="622"/>
      <c r="G47" s="648" t="e">
        <f>I47/H47</f>
        <v>#REF!</v>
      </c>
      <c r="H47" s="596">
        <v>800</v>
      </c>
      <c r="I47" s="596" t="e">
        <f t="shared" ref="I47:I51" si="17">#REF!</f>
        <v>#REF!</v>
      </c>
      <c r="J47" s="597" t="e">
        <f>'Jan-Mar 16'!K47</f>
        <v>#REF!</v>
      </c>
      <c r="K47" s="598" t="e">
        <f t="shared" ref="K47:K62" si="18">I47+J47</f>
        <v>#REF!</v>
      </c>
    </row>
    <row r="48" spans="1:11" ht="14.25" customHeight="1">
      <c r="A48" s="589" t="s">
        <v>1128</v>
      </c>
      <c r="B48" s="590" t="s">
        <v>779</v>
      </c>
      <c r="C48" s="591">
        <v>0</v>
      </c>
      <c r="D48" s="591">
        <v>0</v>
      </c>
      <c r="E48" s="599">
        <v>0</v>
      </c>
      <c r="F48" s="584"/>
      <c r="G48" s="648"/>
      <c r="H48" s="591">
        <v>0</v>
      </c>
      <c r="I48" s="595" t="e">
        <f t="shared" si="17"/>
        <v>#REF!</v>
      </c>
      <c r="J48" s="601" t="e">
        <f>'Jan-Mar 16'!K48</f>
        <v>#REF!</v>
      </c>
      <c r="K48" s="602" t="e">
        <f t="shared" si="18"/>
        <v>#REF!</v>
      </c>
    </row>
    <row r="49" spans="1:11" ht="14.25" customHeight="1">
      <c r="A49" s="589" t="s">
        <v>1129</v>
      </c>
      <c r="B49" s="590" t="s">
        <v>796</v>
      </c>
      <c r="C49" s="591">
        <v>10</v>
      </c>
      <c r="D49" s="591">
        <v>800</v>
      </c>
      <c r="E49" s="599">
        <f t="shared" ref="E49:E51" si="19">C49*D49</f>
        <v>8000</v>
      </c>
      <c r="F49" s="584"/>
      <c r="G49" s="650" t="e">
        <f t="shared" ref="G49:G51" si="20">I49/H49</f>
        <v>#REF!</v>
      </c>
      <c r="H49" s="591">
        <v>800</v>
      </c>
      <c r="I49" s="595" t="e">
        <f t="shared" si="17"/>
        <v>#REF!</v>
      </c>
      <c r="J49" s="601" t="e">
        <f>'Jan-Mar 16'!K49</f>
        <v>#REF!</v>
      </c>
      <c r="K49" s="602" t="e">
        <f t="shared" si="18"/>
        <v>#REF!</v>
      </c>
    </row>
    <row r="50" spans="1:11" ht="16.5" customHeight="1">
      <c r="A50" s="589" t="s">
        <v>1130</v>
      </c>
      <c r="B50" s="590" t="s">
        <v>796</v>
      </c>
      <c r="C50" s="591">
        <v>20</v>
      </c>
      <c r="D50" s="591">
        <v>800</v>
      </c>
      <c r="E50" s="599">
        <f t="shared" si="19"/>
        <v>16000</v>
      </c>
      <c r="F50" s="584"/>
      <c r="G50" s="650" t="e">
        <f t="shared" si="20"/>
        <v>#REF!</v>
      </c>
      <c r="H50" s="591">
        <v>800</v>
      </c>
      <c r="I50" s="595" t="e">
        <f t="shared" si="17"/>
        <v>#REF!</v>
      </c>
      <c r="J50" s="601" t="e">
        <f>'Jan-Mar 16'!K50</f>
        <v>#REF!</v>
      </c>
      <c r="K50" s="602" t="e">
        <f t="shared" si="18"/>
        <v>#REF!</v>
      </c>
    </row>
    <row r="51" spans="1:11" ht="16.5" customHeight="1">
      <c r="A51" s="589" t="s">
        <v>1131</v>
      </c>
      <c r="B51" s="590" t="s">
        <v>796</v>
      </c>
      <c r="C51" s="591">
        <v>9</v>
      </c>
      <c r="D51" s="591">
        <v>800</v>
      </c>
      <c r="E51" s="599">
        <f t="shared" si="19"/>
        <v>7200</v>
      </c>
      <c r="F51" s="584"/>
      <c r="G51" s="650" t="e">
        <f t="shared" si="20"/>
        <v>#REF!</v>
      </c>
      <c r="H51" s="591">
        <v>800</v>
      </c>
      <c r="I51" s="595" t="e">
        <f t="shared" si="17"/>
        <v>#REF!</v>
      </c>
      <c r="J51" s="601" t="e">
        <f>'Jan-Mar 16'!K51</f>
        <v>#REF!</v>
      </c>
      <c r="K51" s="602" t="e">
        <f t="shared" si="18"/>
        <v>#REF!</v>
      </c>
    </row>
    <row r="52" spans="1:11" ht="10.5" customHeight="1">
      <c r="A52" s="589"/>
      <c r="B52" s="590"/>
      <c r="C52" s="591"/>
      <c r="D52" s="591"/>
      <c r="E52" s="599"/>
      <c r="F52" s="584"/>
      <c r="G52" s="650"/>
      <c r="H52" s="591"/>
      <c r="I52" s="595"/>
      <c r="J52" s="601" t="e">
        <f>'Jan-Mar 16'!K52</f>
        <v>#REF!</v>
      </c>
      <c r="K52" s="602" t="e">
        <f t="shared" si="18"/>
        <v>#REF!</v>
      </c>
    </row>
    <row r="53" spans="1:11" ht="14.25" customHeight="1">
      <c r="A53" s="589" t="s">
        <v>1133</v>
      </c>
      <c r="B53" s="590" t="s">
        <v>796</v>
      </c>
      <c r="C53" s="591">
        <f t="shared" ref="C53:C54" si="21">25*2</f>
        <v>50</v>
      </c>
      <c r="D53" s="591">
        <v>800</v>
      </c>
      <c r="E53" s="599">
        <f t="shared" ref="E53:E59" si="22">C53*D53</f>
        <v>40000</v>
      </c>
      <c r="F53" s="584"/>
      <c r="G53" s="650" t="e">
        <f t="shared" ref="G53:G57" si="23">I53/H53</f>
        <v>#REF!</v>
      </c>
      <c r="H53" s="591">
        <v>800</v>
      </c>
      <c r="I53" s="595" t="e">
        <f t="shared" ref="I53:I59" si="24">#REF!</f>
        <v>#REF!</v>
      </c>
      <c r="J53" s="601" t="e">
        <f>'Jan-Mar 16'!K53</f>
        <v>#REF!</v>
      </c>
      <c r="K53" s="602" t="e">
        <f t="shared" si="18"/>
        <v>#REF!</v>
      </c>
    </row>
    <row r="54" spans="1:11" ht="12.75" customHeight="1">
      <c r="A54" s="589" t="s">
        <v>1134</v>
      </c>
      <c r="B54" s="590" t="s">
        <v>796</v>
      </c>
      <c r="C54" s="591">
        <f t="shared" si="21"/>
        <v>50</v>
      </c>
      <c r="D54" s="591">
        <v>800</v>
      </c>
      <c r="E54" s="599">
        <f t="shared" si="22"/>
        <v>40000</v>
      </c>
      <c r="F54" s="584"/>
      <c r="G54" s="650" t="e">
        <f t="shared" si="23"/>
        <v>#REF!</v>
      </c>
      <c r="H54" s="591">
        <v>800</v>
      </c>
      <c r="I54" s="595" t="e">
        <f t="shared" si="24"/>
        <v>#REF!</v>
      </c>
      <c r="J54" s="601" t="e">
        <f>'Jan-Mar 16'!K54</f>
        <v>#REF!</v>
      </c>
      <c r="K54" s="602" t="e">
        <f t="shared" si="18"/>
        <v>#REF!</v>
      </c>
    </row>
    <row r="55" spans="1:11" ht="15" customHeight="1">
      <c r="A55" s="589" t="s">
        <v>1141</v>
      </c>
      <c r="B55" s="590" t="s">
        <v>796</v>
      </c>
      <c r="C55" s="591">
        <f>22*2</f>
        <v>44</v>
      </c>
      <c r="D55" s="591">
        <v>800</v>
      </c>
      <c r="E55" s="599">
        <f t="shared" si="22"/>
        <v>35200</v>
      </c>
      <c r="F55" s="584"/>
      <c r="G55" s="650" t="e">
        <f t="shared" si="23"/>
        <v>#REF!</v>
      </c>
      <c r="H55" s="591">
        <v>800</v>
      </c>
      <c r="I55" s="595" t="e">
        <f t="shared" si="24"/>
        <v>#REF!</v>
      </c>
      <c r="J55" s="601" t="e">
        <f>'Jan-Mar 16'!K55</f>
        <v>#REF!</v>
      </c>
      <c r="K55" s="602" t="e">
        <f t="shared" si="18"/>
        <v>#REF!</v>
      </c>
    </row>
    <row r="56" spans="1:11" ht="17.25" customHeight="1">
      <c r="A56" s="589" t="s">
        <v>1136</v>
      </c>
      <c r="B56" s="590" t="s">
        <v>796</v>
      </c>
      <c r="C56" s="591">
        <f>16*2</f>
        <v>32</v>
      </c>
      <c r="D56" s="591">
        <v>800</v>
      </c>
      <c r="E56" s="599">
        <f t="shared" si="22"/>
        <v>25600</v>
      </c>
      <c r="F56" s="584"/>
      <c r="G56" s="650" t="e">
        <f t="shared" si="23"/>
        <v>#REF!</v>
      </c>
      <c r="H56" s="591">
        <v>800</v>
      </c>
      <c r="I56" s="595" t="e">
        <f t="shared" si="24"/>
        <v>#REF!</v>
      </c>
      <c r="J56" s="601" t="e">
        <f>'Jan-Mar 16'!K56</f>
        <v>#REF!</v>
      </c>
      <c r="K56" s="602" t="e">
        <f t="shared" si="18"/>
        <v>#REF!</v>
      </c>
    </row>
    <row r="57" spans="1:11" ht="18" customHeight="1">
      <c r="A57" s="589" t="s">
        <v>1137</v>
      </c>
      <c r="B57" s="590" t="s">
        <v>796</v>
      </c>
      <c r="C57" s="591">
        <f>18*2</f>
        <v>36</v>
      </c>
      <c r="D57" s="591">
        <v>800</v>
      </c>
      <c r="E57" s="599">
        <f t="shared" si="22"/>
        <v>28800</v>
      </c>
      <c r="F57" s="584"/>
      <c r="G57" s="650" t="e">
        <f t="shared" si="23"/>
        <v>#REF!</v>
      </c>
      <c r="H57" s="591">
        <v>800</v>
      </c>
      <c r="I57" s="595" t="e">
        <f t="shared" si="24"/>
        <v>#REF!</v>
      </c>
      <c r="J57" s="601" t="e">
        <f>'Jan-Mar 16'!K57</f>
        <v>#REF!</v>
      </c>
      <c r="K57" s="602" t="e">
        <f t="shared" si="18"/>
        <v>#REF!</v>
      </c>
    </row>
    <row r="58" spans="1:11" ht="12" customHeight="1">
      <c r="A58" s="589" t="s">
        <v>1124</v>
      </c>
      <c r="B58" s="590" t="s">
        <v>796</v>
      </c>
      <c r="C58" s="591">
        <v>0</v>
      </c>
      <c r="D58" s="591">
        <v>0</v>
      </c>
      <c r="E58" s="599">
        <f t="shared" si="22"/>
        <v>0</v>
      </c>
      <c r="F58" s="584"/>
      <c r="G58" s="650"/>
      <c r="H58" s="591">
        <v>0</v>
      </c>
      <c r="I58" s="595" t="e">
        <f t="shared" si="24"/>
        <v>#REF!</v>
      </c>
      <c r="J58" s="601" t="e">
        <f>'Jan-Mar 16'!K58</f>
        <v>#REF!</v>
      </c>
      <c r="K58" s="602" t="e">
        <f t="shared" si="18"/>
        <v>#REF!</v>
      </c>
    </row>
    <row r="59" spans="1:11" ht="12.75" customHeight="1">
      <c r="A59" s="589" t="s">
        <v>1139</v>
      </c>
      <c r="B59" s="590" t="s">
        <v>796</v>
      </c>
      <c r="C59" s="591">
        <f>(12+15)*3</f>
        <v>81</v>
      </c>
      <c r="D59" s="591">
        <v>800</v>
      </c>
      <c r="E59" s="599">
        <f t="shared" si="22"/>
        <v>64800</v>
      </c>
      <c r="F59" s="584"/>
      <c r="G59" s="650" t="e">
        <f>I59/H59</f>
        <v>#REF!</v>
      </c>
      <c r="H59" s="591">
        <v>800</v>
      </c>
      <c r="I59" s="595" t="e">
        <f t="shared" si="24"/>
        <v>#REF!</v>
      </c>
      <c r="J59" s="601" t="e">
        <f>'Jan-Mar 16'!K59</f>
        <v>#REF!</v>
      </c>
      <c r="K59" s="602" t="e">
        <f t="shared" si="18"/>
        <v>#REF!</v>
      </c>
    </row>
    <row r="60" spans="1:11" ht="12" customHeight="1">
      <c r="A60" s="608"/>
      <c r="B60" s="603"/>
      <c r="C60" s="604"/>
      <c r="D60" s="604"/>
      <c r="E60" s="611"/>
      <c r="F60" s="584"/>
      <c r="G60" s="621"/>
      <c r="H60" s="604"/>
      <c r="I60" s="595"/>
      <c r="J60" s="601" t="e">
        <f>'Jan-Mar 16'!K60</f>
        <v>#REF!</v>
      </c>
      <c r="K60" s="602" t="e">
        <f t="shared" si="18"/>
        <v>#REF!</v>
      </c>
    </row>
    <row r="61" spans="1:11" ht="14.25" customHeight="1">
      <c r="A61" s="608" t="s">
        <v>1270</v>
      </c>
      <c r="B61" s="603" t="s">
        <v>745</v>
      </c>
      <c r="C61" s="604">
        <v>0</v>
      </c>
      <c r="D61" s="604">
        <v>150</v>
      </c>
      <c r="E61" s="611">
        <v>0</v>
      </c>
      <c r="F61" s="584"/>
      <c r="G61" s="621"/>
      <c r="H61" s="604">
        <v>150</v>
      </c>
      <c r="I61" s="595" t="e">
        <f>#REF!</f>
        <v>#REF!</v>
      </c>
      <c r="J61" s="601" t="e">
        <f>'Jan-Mar 16'!K61</f>
        <v>#REF!</v>
      </c>
      <c r="K61" s="602" t="e">
        <f t="shared" si="18"/>
        <v>#REF!</v>
      </c>
    </row>
    <row r="62" spans="1:11" ht="15" customHeight="1">
      <c r="A62" s="615" t="s">
        <v>816</v>
      </c>
      <c r="B62" s="616"/>
      <c r="C62" s="617"/>
      <c r="D62" s="618"/>
      <c r="E62" s="617">
        <f>E47+E61</f>
        <v>265600</v>
      </c>
      <c r="F62" s="623"/>
      <c r="G62" s="624"/>
      <c r="H62" s="625"/>
      <c r="I62" s="626" t="e">
        <f>I47+I61</f>
        <v>#REF!</v>
      </c>
      <c r="J62" s="627" t="e">
        <f>'Jan-Mar 16'!K62</f>
        <v>#REF!</v>
      </c>
      <c r="K62" s="619" t="e">
        <f t="shared" si="18"/>
        <v>#REF!</v>
      </c>
    </row>
    <row r="63" spans="1:11" ht="15.75" customHeight="1">
      <c r="A63" s="582" t="s">
        <v>1245</v>
      </c>
      <c r="B63" s="445"/>
      <c r="C63" s="286"/>
      <c r="D63" s="286"/>
      <c r="E63" s="620"/>
      <c r="F63" s="584"/>
      <c r="G63" s="621"/>
      <c r="H63" s="596"/>
      <c r="I63" s="596"/>
      <c r="J63" s="597"/>
      <c r="K63" s="598"/>
    </row>
    <row r="64" spans="1:11" ht="15" customHeight="1">
      <c r="A64" s="608" t="s">
        <v>1144</v>
      </c>
      <c r="B64" s="603" t="s">
        <v>818</v>
      </c>
      <c r="C64" s="604">
        <v>2</v>
      </c>
      <c r="D64" s="604">
        <v>30000</v>
      </c>
      <c r="E64" s="611">
        <f>C64*D64</f>
        <v>60000</v>
      </c>
      <c r="F64" s="584"/>
      <c r="G64" s="594">
        <v>0</v>
      </c>
      <c r="H64" s="604">
        <v>30000</v>
      </c>
      <c r="I64" s="596" t="e">
        <f t="shared" ref="I64:I74" si="25">#REF!</f>
        <v>#REF!</v>
      </c>
      <c r="J64" s="597" t="e">
        <f>'Jan-Mar 16'!K64</f>
        <v>#REF!</v>
      </c>
      <c r="K64" s="598" t="e">
        <f t="shared" ref="K64:K75" si="26">I64+J64</f>
        <v>#REF!</v>
      </c>
    </row>
    <row r="65" spans="1:13" ht="15" customHeight="1">
      <c r="A65" s="608" t="s">
        <v>819</v>
      </c>
      <c r="B65" s="603"/>
      <c r="C65" s="604">
        <f>SUM(C66:C71)</f>
        <v>21</v>
      </c>
      <c r="D65" s="604">
        <f>E65/C65</f>
        <v>2976.1904761904761</v>
      </c>
      <c r="E65" s="611">
        <f>SUM(E66:E71)</f>
        <v>62500</v>
      </c>
      <c r="F65" s="622"/>
      <c r="G65" s="594"/>
      <c r="H65" s="604"/>
      <c r="I65" s="596" t="e">
        <f t="shared" si="25"/>
        <v>#REF!</v>
      </c>
      <c r="J65" s="601" t="e">
        <f>'Jan-Mar 16'!K65</f>
        <v>#REF!</v>
      </c>
      <c r="K65" s="602" t="e">
        <f t="shared" si="26"/>
        <v>#REF!</v>
      </c>
    </row>
    <row r="66" spans="1:13" ht="13.5" customHeight="1">
      <c r="A66" s="589" t="s">
        <v>1246</v>
      </c>
      <c r="B66" s="590" t="s">
        <v>1146</v>
      </c>
      <c r="C66" s="591">
        <v>15</v>
      </c>
      <c r="D66" s="591">
        <v>800</v>
      </c>
      <c r="E66" s="599">
        <f t="shared" ref="E66:E71" si="27">C66*D66</f>
        <v>12000</v>
      </c>
      <c r="F66" s="584"/>
      <c r="G66" s="594">
        <v>0</v>
      </c>
      <c r="H66" s="591">
        <v>800</v>
      </c>
      <c r="I66" s="595" t="e">
        <f t="shared" si="25"/>
        <v>#REF!</v>
      </c>
      <c r="J66" s="601" t="e">
        <f>'Jan-Mar 16'!K66</f>
        <v>#REF!</v>
      </c>
      <c r="K66" s="602" t="e">
        <f t="shared" si="26"/>
        <v>#REF!</v>
      </c>
    </row>
    <row r="67" spans="1:13" ht="14.25" customHeight="1">
      <c r="A67" s="589" t="s">
        <v>1147</v>
      </c>
      <c r="B67" s="590" t="s">
        <v>1148</v>
      </c>
      <c r="C67" s="591">
        <v>1</v>
      </c>
      <c r="D67" s="591">
        <v>10500</v>
      </c>
      <c r="E67" s="599">
        <f t="shared" si="27"/>
        <v>10500</v>
      </c>
      <c r="F67" s="584"/>
      <c r="G67" s="594">
        <v>0</v>
      </c>
      <c r="H67" s="591">
        <v>10500</v>
      </c>
      <c r="I67" s="595" t="e">
        <f t="shared" si="25"/>
        <v>#REF!</v>
      </c>
      <c r="J67" s="601" t="e">
        <f>'Jan-Mar 16'!K67</f>
        <v>#REF!</v>
      </c>
      <c r="K67" s="602" t="e">
        <f t="shared" si="26"/>
        <v>#REF!</v>
      </c>
    </row>
    <row r="68" spans="1:13" ht="12" customHeight="1">
      <c r="A68" s="589" t="s">
        <v>1149</v>
      </c>
      <c r="B68" s="590" t="s">
        <v>1148</v>
      </c>
      <c r="C68" s="591">
        <v>1</v>
      </c>
      <c r="D68" s="591">
        <v>20000</v>
      </c>
      <c r="E68" s="599">
        <f t="shared" si="27"/>
        <v>20000</v>
      </c>
      <c r="F68" s="584"/>
      <c r="G68" s="594">
        <v>0</v>
      </c>
      <c r="H68" s="591">
        <v>20000</v>
      </c>
      <c r="I68" s="595" t="e">
        <f t="shared" si="25"/>
        <v>#REF!</v>
      </c>
      <c r="J68" s="601" t="e">
        <f>'Jan-Mar 16'!K68</f>
        <v>#REF!</v>
      </c>
      <c r="K68" s="602" t="e">
        <f t="shared" si="26"/>
        <v>#REF!</v>
      </c>
    </row>
    <row r="69" spans="1:13" ht="25.5" customHeight="1">
      <c r="A69" s="589" t="s">
        <v>1150</v>
      </c>
      <c r="B69" s="590" t="s">
        <v>847</v>
      </c>
      <c r="C69" s="591">
        <v>3</v>
      </c>
      <c r="D69" s="591">
        <v>5000</v>
      </c>
      <c r="E69" s="599">
        <f t="shared" si="27"/>
        <v>15000</v>
      </c>
      <c r="F69" s="584"/>
      <c r="G69" s="594">
        <v>0</v>
      </c>
      <c r="H69" s="591">
        <v>5000</v>
      </c>
      <c r="I69" s="595" t="e">
        <f t="shared" si="25"/>
        <v>#REF!</v>
      </c>
      <c r="J69" s="601" t="e">
        <f>'Jan-Mar 16'!K69</f>
        <v>#REF!</v>
      </c>
      <c r="K69" s="602" t="e">
        <f t="shared" si="26"/>
        <v>#REF!</v>
      </c>
      <c r="M69" s="185"/>
    </row>
    <row r="70" spans="1:13" ht="15.75" customHeight="1">
      <c r="A70" s="589" t="s">
        <v>1247</v>
      </c>
      <c r="B70" s="590" t="s">
        <v>1148</v>
      </c>
      <c r="C70" s="591">
        <v>1</v>
      </c>
      <c r="D70" s="591">
        <v>5000</v>
      </c>
      <c r="E70" s="599">
        <f t="shared" si="27"/>
        <v>5000</v>
      </c>
      <c r="F70" s="584"/>
      <c r="G70" s="594">
        <v>0</v>
      </c>
      <c r="H70" s="591">
        <v>5000</v>
      </c>
      <c r="I70" s="595" t="e">
        <f t="shared" si="25"/>
        <v>#REF!</v>
      </c>
      <c r="J70" s="601" t="e">
        <f>'Jan-Mar 16'!K70</f>
        <v>#REF!</v>
      </c>
      <c r="K70" s="602" t="e">
        <f t="shared" si="26"/>
        <v>#REF!</v>
      </c>
    </row>
    <row r="71" spans="1:13" ht="15" customHeight="1">
      <c r="A71" s="589" t="s">
        <v>1152</v>
      </c>
      <c r="B71" s="590" t="s">
        <v>1148</v>
      </c>
      <c r="C71" s="591">
        <v>0</v>
      </c>
      <c r="D71" s="591">
        <v>0</v>
      </c>
      <c r="E71" s="599">
        <f t="shared" si="27"/>
        <v>0</v>
      </c>
      <c r="F71" s="584"/>
      <c r="G71" s="621"/>
      <c r="H71" s="596"/>
      <c r="I71" s="595" t="e">
        <f t="shared" si="25"/>
        <v>#REF!</v>
      </c>
      <c r="J71" s="601" t="e">
        <f>'Jan-Mar 16'!K71</f>
        <v>#REF!</v>
      </c>
      <c r="K71" s="602" t="e">
        <f t="shared" si="26"/>
        <v>#REF!</v>
      </c>
    </row>
    <row r="72" spans="1:13" ht="16.5" customHeight="1">
      <c r="A72" s="608" t="s">
        <v>1153</v>
      </c>
      <c r="B72" s="603"/>
      <c r="C72" s="604"/>
      <c r="D72" s="604"/>
      <c r="E72" s="611">
        <v>0</v>
      </c>
      <c r="F72" s="584"/>
      <c r="G72" s="621"/>
      <c r="H72" s="596"/>
      <c r="I72" s="595" t="e">
        <f t="shared" si="25"/>
        <v>#REF!</v>
      </c>
      <c r="J72" s="601" t="e">
        <f>'Jan-Mar 16'!K72</f>
        <v>#REF!</v>
      </c>
      <c r="K72" s="602" t="e">
        <f t="shared" si="26"/>
        <v>#REF!</v>
      </c>
    </row>
    <row r="73" spans="1:13" ht="16.5" customHeight="1">
      <c r="A73" s="608" t="s">
        <v>1154</v>
      </c>
      <c r="B73" s="603"/>
      <c r="C73" s="604"/>
      <c r="D73" s="604"/>
      <c r="E73" s="611">
        <v>0</v>
      </c>
      <c r="F73" s="584"/>
      <c r="G73" s="621"/>
      <c r="H73" s="596"/>
      <c r="I73" s="595" t="e">
        <f t="shared" si="25"/>
        <v>#REF!</v>
      </c>
      <c r="J73" s="601" t="e">
        <f>'Jan-Mar 16'!K73</f>
        <v>#REF!</v>
      </c>
      <c r="K73" s="602" t="e">
        <f t="shared" si="26"/>
        <v>#REF!</v>
      </c>
    </row>
    <row r="74" spans="1:13" ht="14.25" customHeight="1">
      <c r="A74" s="608" t="s">
        <v>949</v>
      </c>
      <c r="B74" s="603"/>
      <c r="C74" s="604"/>
      <c r="D74" s="604"/>
      <c r="E74" s="611">
        <v>0</v>
      </c>
      <c r="F74" s="584"/>
      <c r="G74" s="594"/>
      <c r="H74" s="595"/>
      <c r="I74" s="595" t="e">
        <f t="shared" si="25"/>
        <v>#REF!</v>
      </c>
      <c r="J74" s="601" t="e">
        <f>'Jan-Mar 16'!K74</f>
        <v>#REF!</v>
      </c>
      <c r="K74" s="602" t="e">
        <f t="shared" si="26"/>
        <v>#REF!</v>
      </c>
      <c r="M74" s="185"/>
    </row>
    <row r="75" spans="1:13" ht="16.5" customHeight="1">
      <c r="A75" s="615" t="s">
        <v>844</v>
      </c>
      <c r="B75" s="616"/>
      <c r="C75" s="617"/>
      <c r="D75" s="618"/>
      <c r="E75" s="617">
        <f>E64+E65+E72+E73+E74</f>
        <v>122500</v>
      </c>
      <c r="F75" s="618"/>
      <c r="G75" s="624"/>
      <c r="H75" s="625"/>
      <c r="I75" s="626" t="e">
        <f>I64+I65</f>
        <v>#REF!</v>
      </c>
      <c r="J75" s="712" t="e">
        <f>'Jan-Mar 16'!K75</f>
        <v>#REF!</v>
      </c>
      <c r="K75" s="619" t="e">
        <f t="shared" si="26"/>
        <v>#REF!</v>
      </c>
    </row>
    <row r="76" spans="1:13" ht="15.75" customHeight="1">
      <c r="A76" s="628" t="s">
        <v>845</v>
      </c>
      <c r="B76" s="629"/>
      <c r="C76" s="630"/>
      <c r="D76" s="630"/>
      <c r="E76" s="631"/>
      <c r="F76" s="632"/>
      <c r="G76" s="633"/>
      <c r="H76" s="634"/>
      <c r="I76" s="634"/>
      <c r="J76" s="635"/>
      <c r="K76" s="636"/>
    </row>
    <row r="77" spans="1:13" ht="13.5" customHeight="1">
      <c r="A77" s="608" t="s">
        <v>1248</v>
      </c>
      <c r="B77" s="603" t="s">
        <v>847</v>
      </c>
      <c r="C77" s="604">
        <f>SUM(C78:C79)</f>
        <v>6</v>
      </c>
      <c r="D77" s="604">
        <f>E77/C77</f>
        <v>3750</v>
      </c>
      <c r="E77" s="611">
        <f>SUM(E78:E79)</f>
        <v>22500</v>
      </c>
      <c r="F77" s="584"/>
      <c r="G77" s="594"/>
      <c r="H77" s="604"/>
      <c r="I77" s="595" t="e">
        <f t="shared" ref="I77:I83" si="28">#REF!</f>
        <v>#REF!</v>
      </c>
      <c r="J77" s="601" t="e">
        <f>'Jan-Mar 16'!K77</f>
        <v>#REF!</v>
      </c>
      <c r="K77" s="637" t="e">
        <f t="shared" ref="K77:K83" si="29">I77+J77</f>
        <v>#REF!</v>
      </c>
    </row>
    <row r="78" spans="1:13" ht="14.25" customHeight="1">
      <c r="A78" s="608" t="s">
        <v>1156</v>
      </c>
      <c r="B78" s="638" t="s">
        <v>847</v>
      </c>
      <c r="C78" s="639">
        <v>3</v>
      </c>
      <c r="D78" s="604">
        <v>2500</v>
      </c>
      <c r="E78" s="611">
        <f t="shared" ref="E78:E79" si="30">C78*D78</f>
        <v>7500</v>
      </c>
      <c r="F78" s="584"/>
      <c r="G78" s="713" t="e">
        <f t="shared" ref="G78:G79" si="31">I78/H78</f>
        <v>#REF!</v>
      </c>
      <c r="H78" s="604">
        <v>2500</v>
      </c>
      <c r="I78" s="595" t="e">
        <f t="shared" si="28"/>
        <v>#REF!</v>
      </c>
      <c r="J78" s="601" t="e">
        <f>'Jan-Mar 16'!K78</f>
        <v>#REF!</v>
      </c>
      <c r="K78" s="637" t="e">
        <f t="shared" si="29"/>
        <v>#REF!</v>
      </c>
    </row>
    <row r="79" spans="1:13" ht="12" customHeight="1">
      <c r="A79" s="589" t="s">
        <v>1157</v>
      </c>
      <c r="B79" s="640" t="s">
        <v>847</v>
      </c>
      <c r="C79" s="641">
        <v>3</v>
      </c>
      <c r="D79" s="591">
        <v>5000</v>
      </c>
      <c r="E79" s="599">
        <f t="shared" si="30"/>
        <v>15000</v>
      </c>
      <c r="F79" s="642"/>
      <c r="G79" s="713" t="e">
        <f t="shared" si="31"/>
        <v>#REF!</v>
      </c>
      <c r="H79" s="591">
        <v>5000</v>
      </c>
      <c r="I79" s="595" t="e">
        <f t="shared" si="28"/>
        <v>#REF!</v>
      </c>
      <c r="J79" s="601" t="e">
        <f>'Jan-Mar 16'!K79</f>
        <v>#REF!</v>
      </c>
      <c r="K79" s="637" t="e">
        <f t="shared" si="29"/>
        <v>#REF!</v>
      </c>
    </row>
    <row r="80" spans="1:13" ht="12.75" customHeight="1">
      <c r="A80" s="608" t="s">
        <v>849</v>
      </c>
      <c r="B80" s="603" t="s">
        <v>847</v>
      </c>
      <c r="C80" s="604">
        <v>0</v>
      </c>
      <c r="D80" s="604">
        <v>0</v>
      </c>
      <c r="E80" s="611">
        <v>0</v>
      </c>
      <c r="F80" s="584"/>
      <c r="G80" s="713"/>
      <c r="H80" s="604">
        <v>0</v>
      </c>
      <c r="I80" s="595" t="e">
        <f t="shared" si="28"/>
        <v>#REF!</v>
      </c>
      <c r="J80" s="601" t="e">
        <f>'Jan-Mar 16'!K80</f>
        <v>#REF!</v>
      </c>
      <c r="K80" s="637" t="e">
        <f t="shared" si="29"/>
        <v>#REF!</v>
      </c>
    </row>
    <row r="81" spans="1:11" ht="13.5" customHeight="1">
      <c r="A81" s="608" t="s">
        <v>1159</v>
      </c>
      <c r="B81" s="603" t="s">
        <v>847</v>
      </c>
      <c r="C81" s="604">
        <v>3</v>
      </c>
      <c r="D81" s="604">
        <v>10000</v>
      </c>
      <c r="E81" s="611">
        <f t="shared" ref="E81:E82" si="32">C81*D81</f>
        <v>30000</v>
      </c>
      <c r="F81" s="584"/>
      <c r="G81" s="713" t="e">
        <f t="shared" ref="G81:G82" si="33">I81/H81</f>
        <v>#REF!</v>
      </c>
      <c r="H81" s="604">
        <v>10000</v>
      </c>
      <c r="I81" s="595" t="e">
        <f t="shared" si="28"/>
        <v>#REF!</v>
      </c>
      <c r="J81" s="601" t="e">
        <f>'Jan-Mar 16'!K81</f>
        <v>#REF!</v>
      </c>
      <c r="K81" s="637" t="e">
        <f t="shared" si="29"/>
        <v>#REF!</v>
      </c>
    </row>
    <row r="82" spans="1:11" ht="26.25" customHeight="1">
      <c r="A82" s="608" t="s">
        <v>1249</v>
      </c>
      <c r="B82" s="603" t="s">
        <v>745</v>
      </c>
      <c r="C82" s="604">
        <v>36</v>
      </c>
      <c r="D82" s="604">
        <v>1600</v>
      </c>
      <c r="E82" s="611">
        <f t="shared" si="32"/>
        <v>57600</v>
      </c>
      <c r="F82" s="584"/>
      <c r="G82" s="713" t="e">
        <f t="shared" si="33"/>
        <v>#REF!</v>
      </c>
      <c r="H82" s="604">
        <v>1600</v>
      </c>
      <c r="I82" s="595" t="e">
        <f t="shared" si="28"/>
        <v>#REF!</v>
      </c>
      <c r="J82" s="601" t="e">
        <f>'Jan-Mar 16'!K82</f>
        <v>#REF!</v>
      </c>
      <c r="K82" s="637" t="e">
        <f t="shared" si="29"/>
        <v>#REF!</v>
      </c>
    </row>
    <row r="83" spans="1:11" ht="15.75" customHeight="1">
      <c r="A83" s="615" t="s">
        <v>852</v>
      </c>
      <c r="B83" s="645"/>
      <c r="C83" s="617"/>
      <c r="D83" s="618"/>
      <c r="E83" s="617">
        <f>E77+E80+E81+E82</f>
        <v>110100</v>
      </c>
      <c r="F83" s="618"/>
      <c r="G83" s="646"/>
      <c r="H83" s="625"/>
      <c r="I83" s="626" t="e">
        <f t="shared" si="28"/>
        <v>#REF!</v>
      </c>
      <c r="J83" s="627" t="e">
        <f>'Jan-Mar 16'!K83</f>
        <v>#REF!</v>
      </c>
      <c r="K83" s="647" t="e">
        <f t="shared" si="29"/>
        <v>#REF!</v>
      </c>
    </row>
    <row r="84" spans="1:11" ht="17.25" customHeight="1">
      <c r="A84" s="582" t="s">
        <v>1250</v>
      </c>
      <c r="B84" s="285"/>
      <c r="C84" s="286"/>
      <c r="D84" s="286"/>
      <c r="E84" s="620"/>
      <c r="F84" s="584"/>
      <c r="G84" s="648"/>
      <c r="H84" s="596"/>
      <c r="I84" s="596"/>
      <c r="J84" s="597"/>
      <c r="K84" s="598"/>
    </row>
    <row r="85" spans="1:11" ht="12" customHeight="1">
      <c r="A85" s="608" t="s">
        <v>1271</v>
      </c>
      <c r="B85" s="603"/>
      <c r="C85" s="604"/>
      <c r="D85" s="604"/>
      <c r="E85" s="611">
        <v>0</v>
      </c>
      <c r="F85" s="584"/>
      <c r="G85" s="648"/>
      <c r="H85" s="596"/>
      <c r="I85" s="595" t="e">
        <f t="shared" ref="I85:I91" si="34">#REF!</f>
        <v>#REF!</v>
      </c>
      <c r="J85" s="601" t="e">
        <f>'Jan-Mar 16'!K85</f>
        <v>#REF!</v>
      </c>
      <c r="K85" s="602" t="e">
        <f t="shared" ref="K85:K91" si="35">I85+J85</f>
        <v>#REF!</v>
      </c>
    </row>
    <row r="86" spans="1:11" ht="13.5" customHeight="1">
      <c r="A86" s="608" t="s">
        <v>1272</v>
      </c>
      <c r="B86" s="603"/>
      <c r="C86" s="604"/>
      <c r="D86" s="604"/>
      <c r="E86" s="611">
        <f>E87</f>
        <v>28800</v>
      </c>
      <c r="F86" s="584"/>
      <c r="G86" s="648"/>
      <c r="H86" s="596"/>
      <c r="I86" s="595" t="e">
        <f t="shared" si="34"/>
        <v>#REF!</v>
      </c>
      <c r="J86" s="601" t="e">
        <f>'Jan-Mar 16'!K86</f>
        <v>#REF!</v>
      </c>
      <c r="K86" s="602" t="e">
        <f t="shared" si="35"/>
        <v>#REF!</v>
      </c>
    </row>
    <row r="87" spans="1:11" ht="13.5" customHeight="1">
      <c r="A87" s="589" t="s">
        <v>1253</v>
      </c>
      <c r="B87" s="590" t="s">
        <v>1165</v>
      </c>
      <c r="C87" s="591">
        <v>18</v>
      </c>
      <c r="D87" s="591">
        <v>1600</v>
      </c>
      <c r="E87" s="599">
        <f t="shared" ref="E87:E91" si="36">C87*D87</f>
        <v>28800</v>
      </c>
      <c r="F87" s="584"/>
      <c r="G87" s="650" t="e">
        <f t="shared" ref="G87:G91" si="37">I87/H87</f>
        <v>#REF!</v>
      </c>
      <c r="H87" s="591">
        <v>1600</v>
      </c>
      <c r="I87" s="595" t="e">
        <f t="shared" si="34"/>
        <v>#REF!</v>
      </c>
      <c r="J87" s="601" t="e">
        <f>'Jan-Mar 16'!K87</f>
        <v>#REF!</v>
      </c>
      <c r="K87" s="602" t="e">
        <f t="shared" si="35"/>
        <v>#REF!</v>
      </c>
    </row>
    <row r="88" spans="1:11" ht="12.75" customHeight="1">
      <c r="A88" s="608" t="s">
        <v>861</v>
      </c>
      <c r="B88" s="603" t="s">
        <v>863</v>
      </c>
      <c r="C88" s="604">
        <v>3</v>
      </c>
      <c r="D88" s="604">
        <v>7000</v>
      </c>
      <c r="E88" s="611">
        <f t="shared" si="36"/>
        <v>21000</v>
      </c>
      <c r="F88" s="584"/>
      <c r="G88" s="650" t="e">
        <f t="shared" si="37"/>
        <v>#REF!</v>
      </c>
      <c r="H88" s="604">
        <v>7000</v>
      </c>
      <c r="I88" s="595" t="e">
        <f t="shared" si="34"/>
        <v>#REF!</v>
      </c>
      <c r="J88" s="601" t="e">
        <f>'Jan-Mar 16'!K88</f>
        <v>#REF!</v>
      </c>
      <c r="K88" s="602" t="e">
        <f t="shared" si="35"/>
        <v>#REF!</v>
      </c>
    </row>
    <row r="89" spans="1:11" ht="15.75" customHeight="1">
      <c r="A89" s="608" t="s">
        <v>864</v>
      </c>
      <c r="B89" s="603" t="s">
        <v>1166</v>
      </c>
      <c r="C89" s="604">
        <v>3</v>
      </c>
      <c r="D89" s="604">
        <v>15000</v>
      </c>
      <c r="E89" s="611">
        <f t="shared" si="36"/>
        <v>45000</v>
      </c>
      <c r="F89" s="584"/>
      <c r="G89" s="650" t="e">
        <f t="shared" si="37"/>
        <v>#REF!</v>
      </c>
      <c r="H89" s="604">
        <v>15000</v>
      </c>
      <c r="I89" s="595" t="e">
        <f t="shared" si="34"/>
        <v>#REF!</v>
      </c>
      <c r="J89" s="601" t="e">
        <f>'Jan-Mar 16'!K89</f>
        <v>#REF!</v>
      </c>
      <c r="K89" s="602" t="e">
        <f t="shared" si="35"/>
        <v>#REF!</v>
      </c>
    </row>
    <row r="90" spans="1:11" ht="15" customHeight="1">
      <c r="A90" s="608" t="s">
        <v>865</v>
      </c>
      <c r="B90" s="603" t="s">
        <v>1168</v>
      </c>
      <c r="C90" s="604">
        <v>60</v>
      </c>
      <c r="D90" s="604">
        <v>1100</v>
      </c>
      <c r="E90" s="611">
        <f t="shared" si="36"/>
        <v>66000</v>
      </c>
      <c r="F90" s="584"/>
      <c r="G90" s="650" t="e">
        <f t="shared" si="37"/>
        <v>#REF!</v>
      </c>
      <c r="H90" s="604">
        <v>1100</v>
      </c>
      <c r="I90" s="595" t="e">
        <f t="shared" si="34"/>
        <v>#REF!</v>
      </c>
      <c r="J90" s="601" t="e">
        <f>'Jan-Mar 16'!K90</f>
        <v>#REF!</v>
      </c>
      <c r="K90" s="602" t="e">
        <f t="shared" si="35"/>
        <v>#REF!</v>
      </c>
    </row>
    <row r="91" spans="1:11" ht="12" customHeight="1">
      <c r="A91" s="608" t="s">
        <v>871</v>
      </c>
      <c r="B91" s="603" t="s">
        <v>847</v>
      </c>
      <c r="C91" s="604">
        <v>3</v>
      </c>
      <c r="D91" s="604">
        <v>1000</v>
      </c>
      <c r="E91" s="611">
        <f t="shared" si="36"/>
        <v>3000</v>
      </c>
      <c r="F91" s="584"/>
      <c r="G91" s="650" t="e">
        <f t="shared" si="37"/>
        <v>#REF!</v>
      </c>
      <c r="H91" s="604">
        <v>1000</v>
      </c>
      <c r="I91" s="595" t="e">
        <f t="shared" si="34"/>
        <v>#REF!</v>
      </c>
      <c r="J91" s="601" t="e">
        <f>'Jan-Mar 16'!K91</f>
        <v>#REF!</v>
      </c>
      <c r="K91" s="602" t="e">
        <f t="shared" si="35"/>
        <v>#REF!</v>
      </c>
    </row>
    <row r="92" spans="1:11" ht="15.75" customHeight="1">
      <c r="A92" s="608" t="s">
        <v>1273</v>
      </c>
      <c r="B92" s="603" t="s">
        <v>1171</v>
      </c>
      <c r="C92" s="604">
        <f>SUM(C93:C98)</f>
        <v>13</v>
      </c>
      <c r="D92" s="604">
        <f>E92/C92</f>
        <v>5000</v>
      </c>
      <c r="E92" s="611">
        <f>SUM(E93:E98)</f>
        <v>65000</v>
      </c>
      <c r="F92" s="649"/>
      <c r="G92" s="650"/>
      <c r="H92" s="604"/>
      <c r="I92" s="595"/>
      <c r="J92" s="601"/>
      <c r="K92" s="602"/>
    </row>
    <row r="93" spans="1:11" ht="14.25" customHeight="1">
      <c r="A93" s="589" t="s">
        <v>1133</v>
      </c>
      <c r="B93" s="590" t="s">
        <v>1171</v>
      </c>
      <c r="C93" s="591">
        <v>2</v>
      </c>
      <c r="D93" s="591">
        <v>5000</v>
      </c>
      <c r="E93" s="599">
        <f t="shared" ref="E93:E99" si="38">C93*D93</f>
        <v>10000</v>
      </c>
      <c r="F93" s="584"/>
      <c r="G93" s="650" t="e">
        <f t="shared" ref="G93:G99" si="39">I93/H93</f>
        <v>#REF!</v>
      </c>
      <c r="H93" s="591">
        <v>5000</v>
      </c>
      <c r="I93" s="595" t="e">
        <f t="shared" ref="I93:I100" si="40">#REF!</f>
        <v>#REF!</v>
      </c>
      <c r="J93" s="601" t="e">
        <f>'Jan-Mar 16'!K93</f>
        <v>#REF!</v>
      </c>
      <c r="K93" s="602" t="e">
        <f t="shared" ref="K93:K100" si="41">I93+J93</f>
        <v>#REF!</v>
      </c>
    </row>
    <row r="94" spans="1:11" ht="12.75" customHeight="1">
      <c r="A94" s="589" t="s">
        <v>1172</v>
      </c>
      <c r="B94" s="590" t="s">
        <v>1171</v>
      </c>
      <c r="C94" s="591">
        <v>2</v>
      </c>
      <c r="D94" s="591">
        <v>5000</v>
      </c>
      <c r="E94" s="599">
        <f t="shared" si="38"/>
        <v>10000</v>
      </c>
      <c r="F94" s="584"/>
      <c r="G94" s="650" t="e">
        <f t="shared" si="39"/>
        <v>#REF!</v>
      </c>
      <c r="H94" s="591">
        <v>5000</v>
      </c>
      <c r="I94" s="595" t="e">
        <f t="shared" si="40"/>
        <v>#REF!</v>
      </c>
      <c r="J94" s="601" t="e">
        <f>'Jan-Mar 16'!K94</f>
        <v>#REF!</v>
      </c>
      <c r="K94" s="602" t="e">
        <f t="shared" si="41"/>
        <v>#REF!</v>
      </c>
    </row>
    <row r="95" spans="1:11" ht="14.25" customHeight="1">
      <c r="A95" s="589" t="s">
        <v>1173</v>
      </c>
      <c r="B95" s="590" t="s">
        <v>1171</v>
      </c>
      <c r="C95" s="591">
        <v>2</v>
      </c>
      <c r="D95" s="591">
        <v>5000</v>
      </c>
      <c r="E95" s="599">
        <f t="shared" si="38"/>
        <v>10000</v>
      </c>
      <c r="F95" s="584"/>
      <c r="G95" s="650" t="e">
        <f t="shared" si="39"/>
        <v>#REF!</v>
      </c>
      <c r="H95" s="591">
        <v>5000</v>
      </c>
      <c r="I95" s="595" t="e">
        <f t="shared" si="40"/>
        <v>#REF!</v>
      </c>
      <c r="J95" s="601" t="e">
        <f>'Jan-Mar 16'!K95</f>
        <v>#REF!</v>
      </c>
      <c r="K95" s="602" t="e">
        <f t="shared" si="41"/>
        <v>#REF!</v>
      </c>
    </row>
    <row r="96" spans="1:11" ht="13.5" customHeight="1">
      <c r="A96" s="589" t="s">
        <v>1174</v>
      </c>
      <c r="B96" s="590" t="s">
        <v>1171</v>
      </c>
      <c r="C96" s="591">
        <v>2</v>
      </c>
      <c r="D96" s="591">
        <v>5000</v>
      </c>
      <c r="E96" s="599">
        <f t="shared" si="38"/>
        <v>10000</v>
      </c>
      <c r="F96" s="584"/>
      <c r="G96" s="650" t="e">
        <f t="shared" si="39"/>
        <v>#REF!</v>
      </c>
      <c r="H96" s="591">
        <v>5000</v>
      </c>
      <c r="I96" s="595" t="e">
        <f t="shared" si="40"/>
        <v>#REF!</v>
      </c>
      <c r="J96" s="601" t="e">
        <f>'Jan-Mar 16'!K96</f>
        <v>#REF!</v>
      </c>
      <c r="K96" s="602" t="e">
        <f t="shared" si="41"/>
        <v>#REF!</v>
      </c>
    </row>
    <row r="97" spans="1:13" ht="15" customHeight="1">
      <c r="A97" s="589" t="s">
        <v>1175</v>
      </c>
      <c r="B97" s="590" t="s">
        <v>1171</v>
      </c>
      <c r="C97" s="591">
        <v>2</v>
      </c>
      <c r="D97" s="591">
        <v>5000</v>
      </c>
      <c r="E97" s="599">
        <f t="shared" si="38"/>
        <v>10000</v>
      </c>
      <c r="F97" s="584"/>
      <c r="G97" s="650" t="e">
        <f t="shared" si="39"/>
        <v>#REF!</v>
      </c>
      <c r="H97" s="591">
        <v>5000</v>
      </c>
      <c r="I97" s="595" t="e">
        <f t="shared" si="40"/>
        <v>#REF!</v>
      </c>
      <c r="J97" s="601" t="e">
        <f>'Jan-Mar 16'!K97</f>
        <v>#REF!</v>
      </c>
      <c r="K97" s="602" t="e">
        <f t="shared" si="41"/>
        <v>#REF!</v>
      </c>
    </row>
    <row r="98" spans="1:13" ht="12.75" customHeight="1">
      <c r="A98" s="589" t="s">
        <v>1139</v>
      </c>
      <c r="B98" s="590" t="s">
        <v>1171</v>
      </c>
      <c r="C98" s="591">
        <v>3</v>
      </c>
      <c r="D98" s="591">
        <v>5000</v>
      </c>
      <c r="E98" s="599">
        <f t="shared" si="38"/>
        <v>15000</v>
      </c>
      <c r="F98" s="584"/>
      <c r="G98" s="650" t="e">
        <f t="shared" si="39"/>
        <v>#REF!</v>
      </c>
      <c r="H98" s="591">
        <v>5000</v>
      </c>
      <c r="I98" s="595" t="e">
        <f t="shared" si="40"/>
        <v>#REF!</v>
      </c>
      <c r="J98" s="601" t="e">
        <f>'Jan-Mar 16'!K98</f>
        <v>#REF!</v>
      </c>
      <c r="K98" s="602" t="e">
        <f t="shared" si="41"/>
        <v>#REF!</v>
      </c>
    </row>
    <row r="99" spans="1:13" ht="12.75" customHeight="1">
      <c r="A99" s="608" t="s">
        <v>1274</v>
      </c>
      <c r="B99" s="603"/>
      <c r="C99" s="604">
        <v>3</v>
      </c>
      <c r="D99" s="604">
        <v>20000</v>
      </c>
      <c r="E99" s="611">
        <f t="shared" si="38"/>
        <v>60000</v>
      </c>
      <c r="F99" s="584"/>
      <c r="G99" s="650" t="e">
        <f t="shared" si="39"/>
        <v>#REF!</v>
      </c>
      <c r="H99" s="604">
        <v>20000</v>
      </c>
      <c r="I99" s="595" t="e">
        <f t="shared" si="40"/>
        <v>#REF!</v>
      </c>
      <c r="J99" s="601" t="e">
        <f>'Jan-Mar 16'!K99</f>
        <v>#REF!</v>
      </c>
      <c r="K99" s="602" t="e">
        <f t="shared" si="41"/>
        <v>#REF!</v>
      </c>
      <c r="M99" s="185"/>
    </row>
    <row r="100" spans="1:13" ht="15.75" customHeight="1">
      <c r="A100" s="615" t="s">
        <v>910</v>
      </c>
      <c r="B100" s="651"/>
      <c r="C100" s="617"/>
      <c r="D100" s="618"/>
      <c r="E100" s="617">
        <f>E85+E86+E88+E89+E90+E91+E92+E99</f>
        <v>288800</v>
      </c>
      <c r="F100" s="618"/>
      <c r="G100" s="652"/>
      <c r="H100" s="625"/>
      <c r="I100" s="626" t="e">
        <f t="shared" si="40"/>
        <v>#REF!</v>
      </c>
      <c r="J100" s="627" t="e">
        <f>'Jan-Mar 16'!K100</f>
        <v>#REF!</v>
      </c>
      <c r="K100" s="647" t="e">
        <f t="shared" si="41"/>
        <v>#REF!</v>
      </c>
    </row>
    <row r="101" spans="1:13" ht="15.75" customHeight="1">
      <c r="A101" s="653" t="s">
        <v>878</v>
      </c>
      <c r="B101" s="654"/>
      <c r="C101" s="655">
        <f>SUM(C102:C104)</f>
        <v>20</v>
      </c>
      <c r="D101" s="655">
        <f>E101/C101</f>
        <v>2000</v>
      </c>
      <c r="E101" s="609">
        <f>SUM(E102:E104)</f>
        <v>40000</v>
      </c>
      <c r="F101" s="632"/>
      <c r="G101" s="656"/>
      <c r="H101" s="657"/>
      <c r="I101" s="657"/>
      <c r="J101" s="658"/>
      <c r="K101" s="602"/>
    </row>
    <row r="102" spans="1:13" ht="14.25" customHeight="1">
      <c r="A102" s="589" t="s">
        <v>1177</v>
      </c>
      <c r="B102" s="590" t="s">
        <v>1178</v>
      </c>
      <c r="C102" s="591">
        <v>20</v>
      </c>
      <c r="D102" s="591">
        <v>2000</v>
      </c>
      <c r="E102" s="599">
        <f t="shared" ref="E102:E104" si="42">C102*D102</f>
        <v>40000</v>
      </c>
      <c r="F102" s="632"/>
      <c r="G102" s="650" t="e">
        <f>I102/H102</f>
        <v>#REF!</v>
      </c>
      <c r="H102" s="714">
        <v>2000</v>
      </c>
      <c r="I102" s="601" t="e">
        <f t="shared" ref="I102:I107" si="43">#REF!</f>
        <v>#REF!</v>
      </c>
      <c r="J102" s="601" t="e">
        <f>'Jan-Mar 16'!K102</f>
        <v>#REF!</v>
      </c>
      <c r="K102" s="602" t="e">
        <f t="shared" ref="K102:K110" si="44">I102+J102</f>
        <v>#REF!</v>
      </c>
    </row>
    <row r="103" spans="1:13" ht="12.75" customHeight="1">
      <c r="A103" s="589" t="s">
        <v>1179</v>
      </c>
      <c r="B103" s="590"/>
      <c r="C103" s="591">
        <v>0</v>
      </c>
      <c r="D103" s="591">
        <v>0</v>
      </c>
      <c r="E103" s="599">
        <f t="shared" si="42"/>
        <v>0</v>
      </c>
      <c r="F103" s="632"/>
      <c r="G103" s="656"/>
      <c r="H103" s="658"/>
      <c r="I103" s="601" t="e">
        <f t="shared" si="43"/>
        <v>#REF!</v>
      </c>
      <c r="J103" s="601" t="e">
        <f>'Jan-Mar 16'!K103</f>
        <v>#REF!</v>
      </c>
      <c r="K103" s="602" t="e">
        <f t="shared" si="44"/>
        <v>#REF!</v>
      </c>
    </row>
    <row r="104" spans="1:13" ht="17.25" customHeight="1">
      <c r="A104" s="589" t="s">
        <v>1180</v>
      </c>
      <c r="B104" s="590"/>
      <c r="C104" s="591">
        <v>0</v>
      </c>
      <c r="D104" s="591">
        <v>0</v>
      </c>
      <c r="E104" s="599">
        <f t="shared" si="42"/>
        <v>0</v>
      </c>
      <c r="F104" s="632"/>
      <c r="G104" s="656"/>
      <c r="H104" s="658"/>
      <c r="I104" s="601" t="e">
        <f t="shared" si="43"/>
        <v>#REF!</v>
      </c>
      <c r="J104" s="601" t="e">
        <f>'Jan-Mar 16'!K104</f>
        <v>#REF!</v>
      </c>
      <c r="K104" s="602" t="e">
        <f t="shared" si="44"/>
        <v>#REF!</v>
      </c>
    </row>
    <row r="105" spans="1:13" ht="14.25" customHeight="1">
      <c r="A105" s="615" t="s">
        <v>882</v>
      </c>
      <c r="B105" s="651"/>
      <c r="C105" s="617"/>
      <c r="D105" s="618"/>
      <c r="E105" s="617">
        <f>E101</f>
        <v>40000</v>
      </c>
      <c r="F105" s="607"/>
      <c r="G105" s="652"/>
      <c r="H105" s="625"/>
      <c r="I105" s="627" t="e">
        <f t="shared" si="43"/>
        <v>#REF!</v>
      </c>
      <c r="J105" s="627" t="e">
        <f>'Jan-Mar 16'!K105</f>
        <v>#REF!</v>
      </c>
      <c r="K105" s="619" t="e">
        <f t="shared" si="44"/>
        <v>#REF!</v>
      </c>
    </row>
    <row r="106" spans="1:13" ht="13.5" customHeight="1">
      <c r="A106" s="659" t="s">
        <v>1256</v>
      </c>
      <c r="B106" s="660"/>
      <c r="C106" s="661"/>
      <c r="D106" s="662"/>
      <c r="E106" s="663">
        <f>E45+E62+E75+E83+E100+E105</f>
        <v>2156950</v>
      </c>
      <c r="F106" s="663"/>
      <c r="G106" s="664"/>
      <c r="H106" s="665"/>
      <c r="I106" s="627" t="e">
        <f t="shared" si="43"/>
        <v>#REF!</v>
      </c>
      <c r="J106" s="627" t="e">
        <f>#REF!</f>
        <v>#REF!</v>
      </c>
      <c r="K106" s="666" t="e">
        <f t="shared" si="44"/>
        <v>#REF!</v>
      </c>
      <c r="M106" s="185"/>
    </row>
    <row r="107" spans="1:13" ht="25.5" customHeight="1">
      <c r="A107" s="667" t="s">
        <v>1181</v>
      </c>
      <c r="B107" s="668"/>
      <c r="C107" s="669"/>
      <c r="D107" s="670"/>
      <c r="E107" s="671">
        <f>E106*5%</f>
        <v>107847.5</v>
      </c>
      <c r="F107" s="672"/>
      <c r="G107" s="673"/>
      <c r="H107" s="674"/>
      <c r="I107" s="627" t="e">
        <f t="shared" si="43"/>
        <v>#REF!</v>
      </c>
      <c r="J107" s="675" t="e">
        <f>'Jan-Mar 16'!K107</f>
        <v>#REF!</v>
      </c>
      <c r="K107" s="676" t="e">
        <f t="shared" si="44"/>
        <v>#REF!</v>
      </c>
      <c r="M107" s="185"/>
    </row>
    <row r="108" spans="1:13" ht="18.75" customHeight="1">
      <c r="A108" s="677" t="s">
        <v>1257</v>
      </c>
      <c r="B108" s="678"/>
      <c r="C108" s="679"/>
      <c r="D108" s="680"/>
      <c r="E108" s="679">
        <f>E106+E107</f>
        <v>2264797.5</v>
      </c>
      <c r="F108" s="679"/>
      <c r="G108" s="681"/>
      <c r="H108" s="682"/>
      <c r="I108" s="627" t="e">
        <f t="shared" ref="I108:J108" si="45">I106+I107</f>
        <v>#REF!</v>
      </c>
      <c r="J108" s="683" t="e">
        <f t="shared" si="45"/>
        <v>#REF!</v>
      </c>
      <c r="K108" s="666" t="e">
        <f t="shared" si="44"/>
        <v>#REF!</v>
      </c>
    </row>
    <row r="109" spans="1:13" ht="25.5" customHeight="1">
      <c r="A109" s="667" t="s">
        <v>1275</v>
      </c>
      <c r="B109" s="684"/>
      <c r="C109" s="669"/>
      <c r="D109" s="670"/>
      <c r="E109" s="671">
        <f>E108*0.068993</f>
        <v>156255.17391750001</v>
      </c>
      <c r="F109" s="685"/>
      <c r="G109" s="686"/>
      <c r="H109" s="674"/>
      <c r="I109" s="627" t="e">
        <f>#REF!</f>
        <v>#REF!</v>
      </c>
      <c r="J109" s="675" t="e">
        <f>'Jan-Mar 16'!K109</f>
        <v>#REF!</v>
      </c>
      <c r="K109" s="676" t="e">
        <f t="shared" si="44"/>
        <v>#REF!</v>
      </c>
    </row>
    <row r="110" spans="1:13" ht="12.75" customHeight="1">
      <c r="A110" s="687" t="s">
        <v>887</v>
      </c>
      <c r="B110" s="688"/>
      <c r="C110" s="679"/>
      <c r="D110" s="680"/>
      <c r="E110" s="679">
        <f>E108+E109</f>
        <v>2421052.6739174998</v>
      </c>
      <c r="F110" s="679"/>
      <c r="G110" s="689"/>
      <c r="H110" s="682"/>
      <c r="I110" s="627" t="e">
        <f t="shared" ref="I110:J110" si="46">I108+I109</f>
        <v>#REF!</v>
      </c>
      <c r="J110" s="683" t="e">
        <f t="shared" si="46"/>
        <v>#REF!</v>
      </c>
      <c r="K110" s="666" t="e">
        <f t="shared" si="44"/>
        <v>#REF!</v>
      </c>
    </row>
    <row r="111" spans="1:13" ht="18" customHeight="1">
      <c r="A111" s="690" t="s">
        <v>1276</v>
      </c>
      <c r="B111" s="691"/>
      <c r="C111" s="692"/>
      <c r="D111" s="693"/>
      <c r="E111" s="694"/>
      <c r="F111" s="695"/>
      <c r="G111" s="696"/>
      <c r="H111" s="697"/>
      <c r="I111" s="626"/>
      <c r="J111" s="698"/>
      <c r="K111" s="699"/>
    </row>
    <row r="112" spans="1:13" ht="14.25" customHeight="1">
      <c r="A112" s="700" t="s">
        <v>1260</v>
      </c>
      <c r="B112" s="701"/>
      <c r="C112" s="702"/>
      <c r="D112" s="703"/>
      <c r="E112" s="704">
        <f>E110+E111</f>
        <v>2421052.6739174998</v>
      </c>
      <c r="F112" s="704"/>
      <c r="G112" s="705"/>
      <c r="H112" s="706"/>
      <c r="I112" s="626" t="e">
        <f t="shared" ref="I112:J112" si="47">I110+I111</f>
        <v>#REF!</v>
      </c>
      <c r="J112" s="707" t="e">
        <f t="shared" si="47"/>
        <v>#REF!</v>
      </c>
      <c r="K112" s="708" t="e">
        <f>I112+J112</f>
        <v>#REF!</v>
      </c>
    </row>
    <row r="113" spans="1:11" ht="15.75" customHeight="1">
      <c r="A113" s="709" t="s">
        <v>1261</v>
      </c>
      <c r="B113" s="710"/>
      <c r="C113" s="710"/>
      <c r="D113" s="710"/>
      <c r="E113" s="710"/>
      <c r="F113" s="710"/>
      <c r="G113" s="710"/>
      <c r="H113" s="710"/>
      <c r="I113" s="710"/>
      <c r="J113" s="710"/>
      <c r="K113" s="710"/>
    </row>
    <row r="114" spans="1:11" ht="23.25" customHeight="1">
      <c r="A114" s="1049" t="s">
        <v>1277</v>
      </c>
      <c r="B114" s="942"/>
      <c r="C114" s="942"/>
      <c r="D114" s="942"/>
      <c r="E114" s="942"/>
      <c r="F114" s="942"/>
      <c r="G114" s="942"/>
      <c r="H114" s="942"/>
      <c r="I114" s="942"/>
      <c r="J114" s="942"/>
      <c r="K114" s="942"/>
    </row>
    <row r="115" spans="1:11" ht="26.25" customHeight="1">
      <c r="A115" s="1049" t="s">
        <v>1278</v>
      </c>
      <c r="B115" s="942"/>
      <c r="C115" s="942"/>
      <c r="D115" s="942"/>
      <c r="E115" s="942"/>
      <c r="F115" s="942"/>
      <c r="G115" s="942"/>
      <c r="H115" s="942"/>
      <c r="I115" s="942"/>
      <c r="J115" s="942"/>
      <c r="K115" s="942"/>
    </row>
    <row r="116" spans="1:11" ht="15.75" customHeight="1">
      <c r="A116" s="710" t="s">
        <v>1032</v>
      </c>
      <c r="B116" s="710"/>
      <c r="C116" s="710"/>
      <c r="D116" s="710"/>
      <c r="E116" s="710"/>
      <c r="F116" s="710"/>
      <c r="G116" s="710"/>
      <c r="H116" s="710"/>
      <c r="I116" s="710" t="s">
        <v>1033</v>
      </c>
      <c r="J116" s="710"/>
      <c r="K116" s="710"/>
    </row>
    <row r="117" spans="1:11" ht="15.75" customHeight="1">
      <c r="A117" s="710"/>
      <c r="B117" s="710"/>
      <c r="C117" s="710"/>
      <c r="D117" s="710"/>
      <c r="E117" s="710"/>
      <c r="F117" s="710"/>
      <c r="G117" s="710"/>
      <c r="H117" s="710"/>
      <c r="I117" s="710"/>
      <c r="J117" s="710"/>
      <c r="K117" s="710"/>
    </row>
    <row r="118" spans="1:11" ht="19.5" customHeight="1">
      <c r="A118" s="710" t="s">
        <v>149</v>
      </c>
      <c r="B118" s="710"/>
      <c r="C118" s="710"/>
      <c r="D118" s="710"/>
      <c r="E118" s="710"/>
      <c r="F118" s="710"/>
      <c r="G118" s="710"/>
      <c r="H118" s="710"/>
      <c r="I118" s="710" t="s">
        <v>1034</v>
      </c>
      <c r="J118" s="710"/>
      <c r="K118" s="711"/>
    </row>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15:K115"/>
    <mergeCell ref="B1:F1"/>
    <mergeCell ref="B2:I2"/>
    <mergeCell ref="B4:E4"/>
    <mergeCell ref="G4:K4"/>
    <mergeCell ref="A114:K114"/>
  </mergeCells>
  <pageMargins left="0" right="0" top="0.74803149606299213" bottom="0.74803149606299213" header="0" footer="0"/>
  <pageSetup paperSize="9" scale="9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defaultColWidth="14.42578125" defaultRowHeight="15" customHeight="1"/>
  <cols>
    <col min="1" max="6" width="9.140625" customWidth="1"/>
    <col min="7"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1000"/>
  <sheetViews>
    <sheetView workbookViewId="0"/>
  </sheetViews>
  <sheetFormatPr defaultColWidth="14.42578125" defaultRowHeight="15" customHeight="1"/>
  <cols>
    <col min="1" max="1" width="42.85546875" customWidth="1"/>
    <col min="2" max="2" width="12.42578125" customWidth="1"/>
    <col min="3" max="3" width="9.140625" customWidth="1"/>
    <col min="4" max="4" width="10.5703125" customWidth="1"/>
    <col min="5" max="5" width="12.28515625" customWidth="1"/>
    <col min="6" max="6" width="12.5703125" customWidth="1"/>
    <col min="7" max="10" width="11.42578125" customWidth="1"/>
    <col min="11" max="11" width="15.140625" customWidth="1"/>
    <col min="12" max="13" width="9.140625" customWidth="1"/>
    <col min="14" max="26" width="10.7109375" customWidth="1"/>
  </cols>
  <sheetData>
    <row r="1" spans="1:11">
      <c r="A1" s="556" t="s">
        <v>449</v>
      </c>
      <c r="B1" s="1050" t="s">
        <v>1221</v>
      </c>
      <c r="C1" s="1051"/>
      <c r="D1" s="1051"/>
      <c r="E1" s="1051"/>
      <c r="F1" s="1051"/>
      <c r="G1" s="557"/>
      <c r="H1" s="557"/>
      <c r="I1" s="557"/>
      <c r="J1" s="557"/>
      <c r="K1" s="558"/>
    </row>
    <row r="2" spans="1:11">
      <c r="A2" s="304"/>
      <c r="B2" s="1052" t="s">
        <v>1222</v>
      </c>
      <c r="C2" s="935"/>
      <c r="D2" s="935"/>
      <c r="E2" s="935"/>
      <c r="F2" s="935"/>
      <c r="G2" s="935"/>
      <c r="H2" s="935"/>
      <c r="I2" s="935"/>
      <c r="J2" s="559"/>
      <c r="K2" s="560"/>
    </row>
    <row r="3" spans="1:11">
      <c r="A3" s="304"/>
      <c r="B3" s="561"/>
      <c r="C3" s="562"/>
      <c r="D3" s="562"/>
      <c r="E3" s="562"/>
      <c r="F3" s="562"/>
      <c r="G3" s="563"/>
      <c r="H3" s="564"/>
      <c r="I3" s="564"/>
      <c r="J3" s="564"/>
      <c r="K3" s="565"/>
    </row>
    <row r="4" spans="1:11" ht="45" customHeight="1">
      <c r="A4" s="566" t="s">
        <v>1279</v>
      </c>
      <c r="B4" s="1053" t="s">
        <v>1224</v>
      </c>
      <c r="C4" s="1054"/>
      <c r="D4" s="1054"/>
      <c r="E4" s="1055"/>
      <c r="F4" s="567" t="s">
        <v>1225</v>
      </c>
      <c r="G4" s="1056" t="s">
        <v>1226</v>
      </c>
      <c r="H4" s="1054"/>
      <c r="I4" s="1054"/>
      <c r="J4" s="1054"/>
      <c r="K4" s="1055"/>
    </row>
    <row r="5" spans="1:11" ht="61.5" customHeight="1">
      <c r="A5" s="568" t="s">
        <v>1227</v>
      </c>
      <c r="B5" s="569" t="s">
        <v>735</v>
      </c>
      <c r="C5" s="570" t="s">
        <v>1228</v>
      </c>
      <c r="D5" s="571" t="s">
        <v>734</v>
      </c>
      <c r="E5" s="572" t="s">
        <v>1229</v>
      </c>
      <c r="F5" s="573" t="s">
        <v>1230</v>
      </c>
      <c r="G5" s="570" t="s">
        <v>1228</v>
      </c>
      <c r="H5" s="571" t="s">
        <v>734</v>
      </c>
      <c r="I5" s="572" t="s">
        <v>1280</v>
      </c>
      <c r="J5" s="574" t="s">
        <v>1281</v>
      </c>
      <c r="K5" s="575" t="s">
        <v>1282</v>
      </c>
    </row>
    <row r="6" spans="1:11">
      <c r="A6" s="576"/>
      <c r="B6" s="577"/>
      <c r="C6" s="577" t="s">
        <v>1234</v>
      </c>
      <c r="D6" s="577" t="s">
        <v>1235</v>
      </c>
      <c r="E6" s="578" t="s">
        <v>1236</v>
      </c>
      <c r="F6" s="579"/>
      <c r="G6" s="577" t="s">
        <v>1234</v>
      </c>
      <c r="H6" s="577" t="s">
        <v>1235</v>
      </c>
      <c r="I6" s="578" t="s">
        <v>1236</v>
      </c>
      <c r="J6" s="580" t="s">
        <v>1237</v>
      </c>
      <c r="K6" s="581" t="s">
        <v>1238</v>
      </c>
    </row>
    <row r="7" spans="1:11" ht="13.5" customHeight="1">
      <c r="A7" s="582" t="s">
        <v>743</v>
      </c>
      <c r="B7" s="445"/>
      <c r="C7" s="286"/>
      <c r="D7" s="286"/>
      <c r="E7" s="583"/>
      <c r="F7" s="584"/>
      <c r="G7" s="585"/>
      <c r="H7" s="586"/>
      <c r="I7" s="586"/>
      <c r="J7" s="587"/>
      <c r="K7" s="588"/>
    </row>
    <row r="8" spans="1:11" ht="25.5" customHeight="1">
      <c r="A8" s="589" t="s">
        <v>1283</v>
      </c>
      <c r="B8" s="590" t="s">
        <v>745</v>
      </c>
      <c r="C8" s="591">
        <f>C9+C21</f>
        <v>365</v>
      </c>
      <c r="D8" s="591">
        <v>2999</v>
      </c>
      <c r="E8" s="592">
        <f>E9+E21</f>
        <v>1051400</v>
      </c>
      <c r="F8" s="593"/>
      <c r="G8" s="594"/>
      <c r="H8" s="595"/>
      <c r="I8" s="596" t="e">
        <f t="shared" ref="I8:J8" si="0">I9+I21</f>
        <v>#REF!</v>
      </c>
      <c r="J8" s="597" t="e">
        <f t="shared" si="0"/>
        <v>#REF!</v>
      </c>
      <c r="K8" s="598" t="e">
        <f t="shared" ref="K8:K19" si="1">I8+J8</f>
        <v>#REF!</v>
      </c>
    </row>
    <row r="9" spans="1:11" ht="13.5" customHeight="1">
      <c r="A9" s="589" t="s">
        <v>1107</v>
      </c>
      <c r="B9" s="590" t="s">
        <v>745</v>
      </c>
      <c r="C9" s="591">
        <f>SUM(C10:C19)</f>
        <v>239</v>
      </c>
      <c r="D9" s="591">
        <f>E9/C9</f>
        <v>2914.2259414225941</v>
      </c>
      <c r="E9" s="592">
        <f>SUM(E10:E19)</f>
        <v>696500</v>
      </c>
      <c r="F9" s="593"/>
      <c r="G9" s="594"/>
      <c r="H9" s="595"/>
      <c r="I9" s="596" t="e">
        <f t="shared" ref="I9:J9" si="2">SUM(I10:I19)</f>
        <v>#REF!</v>
      </c>
      <c r="J9" s="597" t="e">
        <f t="shared" si="2"/>
        <v>#REF!</v>
      </c>
      <c r="K9" s="598" t="e">
        <f t="shared" si="1"/>
        <v>#REF!</v>
      </c>
    </row>
    <row r="10" spans="1:11" ht="14.25" customHeight="1">
      <c r="A10" s="589" t="s">
        <v>1108</v>
      </c>
      <c r="B10" s="590" t="s">
        <v>745</v>
      </c>
      <c r="C10" s="591">
        <v>36</v>
      </c>
      <c r="D10" s="591">
        <v>3500</v>
      </c>
      <c r="E10" s="599">
        <f t="shared" ref="E10:E19" si="3">C10*D10</f>
        <v>126000</v>
      </c>
      <c r="F10" s="584"/>
      <c r="G10" s="600" t="e">
        <f t="shared" ref="G10:G19" si="4">I10/H10</f>
        <v>#REF!</v>
      </c>
      <c r="H10" s="595">
        <v>2500</v>
      </c>
      <c r="I10" s="595" t="e">
        <f t="shared" ref="I10:I19" si="5">#REF!</f>
        <v>#REF!</v>
      </c>
      <c r="J10" s="601">
        <f>19950</f>
        <v>19950</v>
      </c>
      <c r="K10" s="602" t="e">
        <f t="shared" si="1"/>
        <v>#REF!</v>
      </c>
    </row>
    <row r="11" spans="1:11" ht="13.5" customHeight="1">
      <c r="A11" s="589" t="s">
        <v>1109</v>
      </c>
      <c r="B11" s="590" t="s">
        <v>745</v>
      </c>
      <c r="C11" s="591">
        <v>36</v>
      </c>
      <c r="D11" s="591">
        <v>3500</v>
      </c>
      <c r="E11" s="599">
        <f t="shared" si="3"/>
        <v>126000</v>
      </c>
      <c r="F11" s="584"/>
      <c r="G11" s="600" t="e">
        <f t="shared" si="4"/>
        <v>#REF!</v>
      </c>
      <c r="H11" s="595">
        <v>3500</v>
      </c>
      <c r="I11" s="595" t="e">
        <f t="shared" si="5"/>
        <v>#REF!</v>
      </c>
      <c r="J11" s="601">
        <v>70949.990000000005</v>
      </c>
      <c r="K11" s="602" t="e">
        <f t="shared" si="1"/>
        <v>#REF!</v>
      </c>
    </row>
    <row r="12" spans="1:11" ht="13.5" customHeight="1">
      <c r="A12" s="589" t="s">
        <v>1110</v>
      </c>
      <c r="B12" s="590" t="s">
        <v>745</v>
      </c>
      <c r="C12" s="591">
        <v>36</v>
      </c>
      <c r="D12" s="591">
        <v>2750</v>
      </c>
      <c r="E12" s="599">
        <f t="shared" si="3"/>
        <v>99000</v>
      </c>
      <c r="F12" s="584"/>
      <c r="G12" s="600" t="e">
        <f t="shared" si="4"/>
        <v>#REF!</v>
      </c>
      <c r="H12" s="595">
        <v>2750</v>
      </c>
      <c r="I12" s="595" t="e">
        <f t="shared" si="5"/>
        <v>#REF!</v>
      </c>
      <c r="J12" s="601">
        <v>49999.99</v>
      </c>
      <c r="K12" s="602" t="e">
        <f t="shared" si="1"/>
        <v>#REF!</v>
      </c>
    </row>
    <row r="13" spans="1:11" ht="16.5" customHeight="1">
      <c r="A13" s="589" t="s">
        <v>1111</v>
      </c>
      <c r="B13" s="590" t="s">
        <v>745</v>
      </c>
      <c r="C13" s="591">
        <v>36</v>
      </c>
      <c r="D13" s="591">
        <v>3000</v>
      </c>
      <c r="E13" s="599">
        <f t="shared" si="3"/>
        <v>108000</v>
      </c>
      <c r="F13" s="584"/>
      <c r="G13" s="600" t="e">
        <f t="shared" si="4"/>
        <v>#REF!</v>
      </c>
      <c r="H13" s="595">
        <v>3000</v>
      </c>
      <c r="I13" s="595" t="e">
        <f t="shared" si="5"/>
        <v>#REF!</v>
      </c>
      <c r="J13" s="601" t="e">
        <f>'Jan-Mar 16'!K13</f>
        <v>#REF!</v>
      </c>
      <c r="K13" s="602" t="e">
        <f t="shared" si="1"/>
        <v>#REF!</v>
      </c>
    </row>
    <row r="14" spans="1:11" ht="15.75" customHeight="1">
      <c r="A14" s="589" t="s">
        <v>1112</v>
      </c>
      <c r="B14" s="590" t="s">
        <v>745</v>
      </c>
      <c r="C14" s="591">
        <v>12</v>
      </c>
      <c r="D14" s="591">
        <v>2500</v>
      </c>
      <c r="E14" s="599">
        <f t="shared" si="3"/>
        <v>30000</v>
      </c>
      <c r="F14" s="584"/>
      <c r="G14" s="600" t="e">
        <f t="shared" si="4"/>
        <v>#REF!</v>
      </c>
      <c r="H14" s="595">
        <v>2500</v>
      </c>
      <c r="I14" s="595" t="e">
        <f t="shared" si="5"/>
        <v>#REF!</v>
      </c>
      <c r="J14" s="601" t="e">
        <f>'Jan-Mar 16'!K14</f>
        <v>#REF!</v>
      </c>
      <c r="K14" s="602" t="e">
        <f t="shared" si="1"/>
        <v>#REF!</v>
      </c>
    </row>
    <row r="15" spans="1:11" ht="16.5" customHeight="1">
      <c r="A15" s="589" t="s">
        <v>1113</v>
      </c>
      <c r="B15" s="590" t="s">
        <v>745</v>
      </c>
      <c r="C15" s="591">
        <v>12</v>
      </c>
      <c r="D15" s="591">
        <v>2500</v>
      </c>
      <c r="E15" s="599">
        <f t="shared" si="3"/>
        <v>30000</v>
      </c>
      <c r="F15" s="584"/>
      <c r="G15" s="600" t="e">
        <f t="shared" si="4"/>
        <v>#REF!</v>
      </c>
      <c r="H15" s="595">
        <v>2500</v>
      </c>
      <c r="I15" s="595" t="e">
        <f t="shared" si="5"/>
        <v>#REF!</v>
      </c>
      <c r="J15" s="601" t="e">
        <f>'Jan-Mar 16'!K15</f>
        <v>#REF!</v>
      </c>
      <c r="K15" s="602" t="e">
        <f t="shared" si="1"/>
        <v>#REF!</v>
      </c>
    </row>
    <row r="16" spans="1:11" ht="16.5" customHeight="1">
      <c r="A16" s="589" t="s">
        <v>1114</v>
      </c>
      <c r="B16" s="590" t="s">
        <v>745</v>
      </c>
      <c r="C16" s="591">
        <v>9</v>
      </c>
      <c r="D16" s="591">
        <v>2500</v>
      </c>
      <c r="E16" s="599">
        <f t="shared" si="3"/>
        <v>22500</v>
      </c>
      <c r="F16" s="584"/>
      <c r="G16" s="600" t="e">
        <f t="shared" si="4"/>
        <v>#REF!</v>
      </c>
      <c r="H16" s="595">
        <v>2500</v>
      </c>
      <c r="I16" s="595" t="e">
        <f t="shared" si="5"/>
        <v>#REF!</v>
      </c>
      <c r="J16" s="601" t="e">
        <f>'Jan-Mar 16'!K16</f>
        <v>#REF!</v>
      </c>
      <c r="K16" s="602" t="e">
        <f t="shared" si="1"/>
        <v>#REF!</v>
      </c>
    </row>
    <row r="17" spans="1:13" ht="16.5" customHeight="1">
      <c r="A17" s="589" t="s">
        <v>1115</v>
      </c>
      <c r="B17" s="590" t="s">
        <v>745</v>
      </c>
      <c r="C17" s="591">
        <v>9</v>
      </c>
      <c r="D17" s="591">
        <v>2500</v>
      </c>
      <c r="E17" s="599">
        <f t="shared" si="3"/>
        <v>22500</v>
      </c>
      <c r="F17" s="584"/>
      <c r="G17" s="600" t="e">
        <f t="shared" si="4"/>
        <v>#REF!</v>
      </c>
      <c r="H17" s="595">
        <v>2500</v>
      </c>
      <c r="I17" s="595" t="e">
        <f t="shared" si="5"/>
        <v>#REF!</v>
      </c>
      <c r="J17" s="601">
        <f>9000</f>
        <v>9000</v>
      </c>
      <c r="K17" s="602" t="e">
        <f t="shared" si="1"/>
        <v>#REF!</v>
      </c>
    </row>
    <row r="18" spans="1:13" ht="12.75" customHeight="1">
      <c r="A18" s="589" t="s">
        <v>1116</v>
      </c>
      <c r="B18" s="590" t="s">
        <v>745</v>
      </c>
      <c r="C18" s="591">
        <v>9</v>
      </c>
      <c r="D18" s="591">
        <v>2500</v>
      </c>
      <c r="E18" s="599">
        <f t="shared" si="3"/>
        <v>22500</v>
      </c>
      <c r="F18" s="584"/>
      <c r="G18" s="600" t="e">
        <f t="shared" si="4"/>
        <v>#REF!</v>
      </c>
      <c r="H18" s="595">
        <v>2500</v>
      </c>
      <c r="I18" s="595" t="e">
        <f t="shared" si="5"/>
        <v>#REF!</v>
      </c>
      <c r="J18" s="601">
        <v>2500</v>
      </c>
      <c r="K18" s="602" t="e">
        <f t="shared" si="1"/>
        <v>#REF!</v>
      </c>
    </row>
    <row r="19" spans="1:13" ht="15.75" customHeight="1">
      <c r="A19" s="589" t="s">
        <v>1240</v>
      </c>
      <c r="B19" s="590" t="s">
        <v>745</v>
      </c>
      <c r="C19" s="591">
        <v>44</v>
      </c>
      <c r="D19" s="591">
        <v>2500</v>
      </c>
      <c r="E19" s="599">
        <f t="shared" si="3"/>
        <v>110000</v>
      </c>
      <c r="F19" s="584"/>
      <c r="G19" s="600" t="e">
        <f t="shared" si="4"/>
        <v>#REF!</v>
      </c>
      <c r="H19" s="595">
        <v>2500</v>
      </c>
      <c r="I19" s="595" t="e">
        <f t="shared" si="5"/>
        <v>#REF!</v>
      </c>
      <c r="J19" s="601">
        <f>91904.73</f>
        <v>91904.73</v>
      </c>
      <c r="K19" s="602" t="e">
        <f t="shared" si="1"/>
        <v>#REF!</v>
      </c>
      <c r="L19" s="185"/>
      <c r="M19" s="185"/>
    </row>
    <row r="20" spans="1:13">
      <c r="A20" s="276"/>
      <c r="B20" s="603"/>
      <c r="C20" s="604"/>
      <c r="D20" s="604"/>
      <c r="E20" s="604"/>
      <c r="F20" s="584"/>
      <c r="G20" s="594"/>
      <c r="H20" s="595"/>
      <c r="I20" s="595"/>
      <c r="J20" s="601"/>
      <c r="K20" s="605"/>
    </row>
    <row r="21" spans="1:13" ht="13.5" customHeight="1">
      <c r="A21" s="589" t="s">
        <v>1118</v>
      </c>
      <c r="B21" s="590" t="s">
        <v>745</v>
      </c>
      <c r="C21" s="591">
        <f>SUM(C22:C25)</f>
        <v>126</v>
      </c>
      <c r="D21" s="591">
        <f>E21/C21</f>
        <v>2816.6666666666665</v>
      </c>
      <c r="E21" s="592">
        <f>SUM(E22:E25)</f>
        <v>354900</v>
      </c>
      <c r="F21" s="606"/>
      <c r="G21" s="594"/>
      <c r="H21" s="595"/>
      <c r="I21" s="596" t="e">
        <f>SUM(I22:I25)</f>
        <v>#REF!</v>
      </c>
      <c r="J21" s="597">
        <f>SUM(J22:J26)</f>
        <v>170722.46</v>
      </c>
      <c r="K21" s="598" t="e">
        <f t="shared" ref="K21:K25" si="6">I21+J21</f>
        <v>#REF!</v>
      </c>
    </row>
    <row r="22" spans="1:13" ht="13.5" customHeight="1">
      <c r="A22" s="589" t="s">
        <v>1119</v>
      </c>
      <c r="B22" s="590" t="s">
        <v>745</v>
      </c>
      <c r="C22" s="591">
        <v>36</v>
      </c>
      <c r="D22" s="591">
        <v>3650</v>
      </c>
      <c r="E22" s="599">
        <f t="shared" ref="E22:E25" si="7">C22*D22</f>
        <v>131400</v>
      </c>
      <c r="F22" s="584"/>
      <c r="G22" s="650" t="e">
        <f t="shared" ref="G22:G25" si="8">I22/H22</f>
        <v>#REF!</v>
      </c>
      <c r="H22" s="595">
        <v>3650</v>
      </c>
      <c r="I22" s="595" t="e">
        <f t="shared" ref="I22:I25" si="9">#REF!</f>
        <v>#REF!</v>
      </c>
      <c r="J22" s="601">
        <f>72346.67</f>
        <v>72346.67</v>
      </c>
      <c r="K22" s="602" t="e">
        <f t="shared" si="6"/>
        <v>#REF!</v>
      </c>
    </row>
    <row r="23" spans="1:13" ht="13.5" customHeight="1">
      <c r="A23" s="589" t="s">
        <v>1120</v>
      </c>
      <c r="B23" s="590" t="s">
        <v>745</v>
      </c>
      <c r="C23" s="591">
        <v>36</v>
      </c>
      <c r="D23" s="591">
        <v>2750</v>
      </c>
      <c r="E23" s="599">
        <f t="shared" si="7"/>
        <v>99000</v>
      </c>
      <c r="F23" s="584"/>
      <c r="G23" s="650" t="e">
        <f t="shared" si="8"/>
        <v>#REF!</v>
      </c>
      <c r="H23" s="595">
        <v>2750</v>
      </c>
      <c r="I23" s="595" t="e">
        <f t="shared" si="9"/>
        <v>#REF!</v>
      </c>
      <c r="J23" s="601">
        <f>47795.81</f>
        <v>47795.81</v>
      </c>
      <c r="K23" s="602" t="e">
        <f t="shared" si="6"/>
        <v>#REF!</v>
      </c>
    </row>
    <row r="24" spans="1:13" ht="13.5" customHeight="1">
      <c r="A24" s="589" t="s">
        <v>1121</v>
      </c>
      <c r="B24" s="590" t="s">
        <v>745</v>
      </c>
      <c r="C24" s="591">
        <v>24</v>
      </c>
      <c r="D24" s="591">
        <v>2250</v>
      </c>
      <c r="E24" s="599">
        <f t="shared" si="7"/>
        <v>54000</v>
      </c>
      <c r="F24" s="584"/>
      <c r="G24" s="650" t="e">
        <f t="shared" si="8"/>
        <v>#REF!</v>
      </c>
      <c r="H24" s="595">
        <v>2250</v>
      </c>
      <c r="I24" s="595" t="e">
        <f t="shared" si="9"/>
        <v>#REF!</v>
      </c>
      <c r="J24" s="601">
        <f>43649.99</f>
        <v>43649.99</v>
      </c>
      <c r="K24" s="602" t="e">
        <f t="shared" si="6"/>
        <v>#REF!</v>
      </c>
    </row>
    <row r="25" spans="1:13" ht="24" customHeight="1">
      <c r="A25" s="589" t="s">
        <v>1122</v>
      </c>
      <c r="B25" s="590" t="s">
        <v>745</v>
      </c>
      <c r="C25" s="591">
        <v>30</v>
      </c>
      <c r="D25" s="591">
        <v>2350</v>
      </c>
      <c r="E25" s="599">
        <f t="shared" si="7"/>
        <v>70500</v>
      </c>
      <c r="F25" s="584"/>
      <c r="G25" s="650" t="e">
        <f t="shared" si="8"/>
        <v>#REF!</v>
      </c>
      <c r="H25" s="595">
        <f>2350</f>
        <v>2350</v>
      </c>
      <c r="I25" s="595" t="e">
        <f t="shared" si="9"/>
        <v>#REF!</v>
      </c>
      <c r="J25" s="601">
        <f>6929.99</f>
        <v>6929.99</v>
      </c>
      <c r="K25" s="602" t="e">
        <f t="shared" si="6"/>
        <v>#REF!</v>
      </c>
    </row>
    <row r="26" spans="1:13" ht="27" customHeight="1">
      <c r="A26" s="589" t="s">
        <v>1241</v>
      </c>
      <c r="B26" s="590" t="s">
        <v>745</v>
      </c>
      <c r="C26" s="591">
        <f t="shared" ref="C26:E26" si="10">C27</f>
        <v>0</v>
      </c>
      <c r="D26" s="591">
        <f t="shared" si="10"/>
        <v>0</v>
      </c>
      <c r="E26" s="599">
        <f t="shared" si="10"/>
        <v>0</v>
      </c>
      <c r="F26" s="584"/>
      <c r="G26" s="594"/>
      <c r="H26" s="595"/>
      <c r="I26" s="596"/>
      <c r="J26" s="601"/>
      <c r="K26" s="602"/>
    </row>
    <row r="27" spans="1:13" ht="15.75" customHeight="1">
      <c r="A27" s="589" t="s">
        <v>1124</v>
      </c>
      <c r="B27" s="590" t="s">
        <v>1125</v>
      </c>
      <c r="C27" s="591">
        <v>0</v>
      </c>
      <c r="D27" s="591">
        <v>0</v>
      </c>
      <c r="E27" s="599">
        <v>0</v>
      </c>
      <c r="F27" s="607"/>
      <c r="G27" s="594"/>
      <c r="H27" s="595"/>
      <c r="I27" s="596"/>
      <c r="J27" s="601"/>
      <c r="K27" s="602"/>
    </row>
    <row r="28" spans="1:13" ht="16.5" customHeight="1">
      <c r="A28" s="589" t="s">
        <v>1284</v>
      </c>
      <c r="B28" s="590"/>
      <c r="C28" s="591">
        <v>1.6579999999999999</v>
      </c>
      <c r="D28" s="591">
        <v>150</v>
      </c>
      <c r="E28" s="592">
        <f>+E29+E35+E36</f>
        <v>278550</v>
      </c>
      <c r="F28" s="593"/>
      <c r="G28" s="594"/>
      <c r="H28" s="595">
        <v>150</v>
      </c>
      <c r="I28" s="596" t="e">
        <f t="shared" ref="I28:J28" si="11">I29+I35+I36</f>
        <v>#REF!</v>
      </c>
      <c r="J28" s="596" t="e">
        <f t="shared" si="11"/>
        <v>#REF!</v>
      </c>
      <c r="K28" s="598" t="e">
        <f t="shared" ref="K28:K33" si="12">I28+J28</f>
        <v>#REF!</v>
      </c>
    </row>
    <row r="29" spans="1:13" ht="15.75" customHeight="1">
      <c r="A29" s="608" t="s">
        <v>778</v>
      </c>
      <c r="B29" s="603" t="s">
        <v>779</v>
      </c>
      <c r="C29" s="604">
        <f>SUM(C30:C33)</f>
        <v>130</v>
      </c>
      <c r="D29" s="604">
        <f>E29/C29</f>
        <v>150</v>
      </c>
      <c r="E29" s="609">
        <f>SUM(E30:E33)</f>
        <v>19500</v>
      </c>
      <c r="F29" s="610"/>
      <c r="G29" s="650" t="e">
        <f>I29/H29</f>
        <v>#REF!</v>
      </c>
      <c r="H29" s="595">
        <v>150</v>
      </c>
      <c r="I29" s="596" t="e">
        <f>I30+I31+I32+I33</f>
        <v>#REF!</v>
      </c>
      <c r="J29" s="595">
        <f>26429.04</f>
        <v>26429.040000000001</v>
      </c>
      <c r="K29" s="602" t="e">
        <f t="shared" si="12"/>
        <v>#REF!</v>
      </c>
    </row>
    <row r="30" spans="1:13" ht="15" customHeight="1">
      <c r="A30" s="589" t="s">
        <v>1128</v>
      </c>
      <c r="B30" s="590" t="s">
        <v>779</v>
      </c>
      <c r="C30" s="591">
        <v>0</v>
      </c>
      <c r="D30" s="591">
        <v>0</v>
      </c>
      <c r="E30" s="599">
        <f t="shared" ref="E30:E33" si="13">C30*D30</f>
        <v>0</v>
      </c>
      <c r="F30" s="607"/>
      <c r="G30" s="650"/>
      <c r="H30" s="595"/>
      <c r="I30" s="595" t="e">
        <f t="shared" ref="I30:I33" si="14">#REF!</f>
        <v>#REF!</v>
      </c>
      <c r="J30" s="595" t="e">
        <f>'Jan-Mar 16'!K30</f>
        <v>#REF!</v>
      </c>
      <c r="K30" s="602" t="e">
        <f t="shared" si="12"/>
        <v>#REF!</v>
      </c>
    </row>
    <row r="31" spans="1:13" ht="16.5" customHeight="1">
      <c r="A31" s="589" t="s">
        <v>1129</v>
      </c>
      <c r="B31" s="590" t="s">
        <v>779</v>
      </c>
      <c r="C31" s="591">
        <v>30</v>
      </c>
      <c r="D31" s="591">
        <v>150</v>
      </c>
      <c r="E31" s="599">
        <f t="shared" si="13"/>
        <v>4500</v>
      </c>
      <c r="F31" s="584"/>
      <c r="G31" s="650" t="e">
        <f t="shared" ref="G31:G33" si="15">I31/H31</f>
        <v>#REF!</v>
      </c>
      <c r="H31" s="595">
        <v>150</v>
      </c>
      <c r="I31" s="595" t="e">
        <f t="shared" si="14"/>
        <v>#REF!</v>
      </c>
      <c r="J31" s="595">
        <f>2841.04</f>
        <v>2841.04</v>
      </c>
      <c r="K31" s="602" t="e">
        <f t="shared" si="12"/>
        <v>#REF!</v>
      </c>
    </row>
    <row r="32" spans="1:13" ht="12.75" customHeight="1">
      <c r="A32" s="589" t="s">
        <v>1130</v>
      </c>
      <c r="B32" s="590" t="s">
        <v>779</v>
      </c>
      <c r="C32" s="591">
        <v>50</v>
      </c>
      <c r="D32" s="591">
        <v>150</v>
      </c>
      <c r="E32" s="599">
        <f t="shared" si="13"/>
        <v>7500</v>
      </c>
      <c r="F32" s="584"/>
      <c r="G32" s="650" t="e">
        <f t="shared" si="15"/>
        <v>#REF!</v>
      </c>
      <c r="H32" s="595">
        <v>150</v>
      </c>
      <c r="I32" s="595" t="e">
        <f t="shared" si="14"/>
        <v>#REF!</v>
      </c>
      <c r="J32" s="595">
        <v>450</v>
      </c>
      <c r="K32" s="602" t="e">
        <f t="shared" si="12"/>
        <v>#REF!</v>
      </c>
    </row>
    <row r="33" spans="1:13" ht="15" customHeight="1">
      <c r="A33" s="589" t="s">
        <v>1131</v>
      </c>
      <c r="B33" s="590" t="s">
        <v>779</v>
      </c>
      <c r="C33" s="591">
        <v>50</v>
      </c>
      <c r="D33" s="591">
        <v>150</v>
      </c>
      <c r="E33" s="599">
        <f t="shared" si="13"/>
        <v>7500</v>
      </c>
      <c r="F33" s="584"/>
      <c r="G33" s="650" t="e">
        <f t="shared" si="15"/>
        <v>#REF!</v>
      </c>
      <c r="H33" s="595">
        <v>150</v>
      </c>
      <c r="I33" s="595" t="e">
        <f t="shared" si="14"/>
        <v>#REF!</v>
      </c>
      <c r="J33" s="595">
        <v>23183</v>
      </c>
      <c r="K33" s="602" t="e">
        <f t="shared" si="12"/>
        <v>#REF!</v>
      </c>
    </row>
    <row r="34" spans="1:13" ht="11.25" customHeight="1">
      <c r="A34" s="589"/>
      <c r="B34" s="590"/>
      <c r="C34" s="591"/>
      <c r="D34" s="591"/>
      <c r="E34" s="599"/>
      <c r="F34" s="607"/>
      <c r="G34" s="594"/>
      <c r="H34" s="595"/>
      <c r="I34" s="595"/>
      <c r="J34" s="601"/>
      <c r="K34" s="602"/>
    </row>
    <row r="35" spans="1:13" ht="14.25" customHeight="1">
      <c r="A35" s="608" t="s">
        <v>788</v>
      </c>
      <c r="B35" s="603" t="s">
        <v>779</v>
      </c>
      <c r="C35" s="604">
        <v>0</v>
      </c>
      <c r="D35" s="604">
        <v>0</v>
      </c>
      <c r="E35" s="611">
        <v>0</v>
      </c>
      <c r="F35" s="607"/>
      <c r="G35" s="594"/>
      <c r="H35" s="595"/>
      <c r="I35" s="595"/>
      <c r="J35" s="601"/>
      <c r="K35" s="602"/>
    </row>
    <row r="36" spans="1:13" ht="16.5" customHeight="1">
      <c r="A36" s="608" t="s">
        <v>1132</v>
      </c>
      <c r="B36" s="603" t="s">
        <v>779</v>
      </c>
      <c r="C36" s="604">
        <f>SUM(C37:C43)</f>
        <v>1727</v>
      </c>
      <c r="D36" s="604">
        <f>E36/C36</f>
        <v>150</v>
      </c>
      <c r="E36" s="609">
        <f>SUM(E37:E43)</f>
        <v>259050</v>
      </c>
      <c r="F36" s="612"/>
      <c r="G36" s="650" t="e">
        <f t="shared" ref="G36:G41" si="16">I36/H36</f>
        <v>#REF!</v>
      </c>
      <c r="H36" s="604">
        <v>150</v>
      </c>
      <c r="I36" s="596" t="e">
        <f t="shared" ref="I36:J36" si="17">SUM(I37:I43)</f>
        <v>#REF!</v>
      </c>
      <c r="J36" s="597" t="e">
        <f t="shared" si="17"/>
        <v>#REF!</v>
      </c>
      <c r="K36" s="598" t="e">
        <f t="shared" ref="K36:K43" si="18">I36+J36</f>
        <v>#REF!</v>
      </c>
    </row>
    <row r="37" spans="1:13" ht="18" customHeight="1">
      <c r="A37" s="589" t="s">
        <v>1133</v>
      </c>
      <c r="B37" s="590" t="s">
        <v>779</v>
      </c>
      <c r="C37" s="591">
        <f t="shared" ref="C37:C38" si="19">25*7*2</f>
        <v>350</v>
      </c>
      <c r="D37" s="591">
        <v>150</v>
      </c>
      <c r="E37" s="599">
        <f t="shared" ref="E37:E43" si="20">C37*D37</f>
        <v>52500</v>
      </c>
      <c r="F37" s="584"/>
      <c r="G37" s="650" t="e">
        <f t="shared" si="16"/>
        <v>#REF!</v>
      </c>
      <c r="H37" s="591">
        <v>150</v>
      </c>
      <c r="I37" s="595" t="e">
        <f t="shared" ref="I37:I43" si="21">#REF!</f>
        <v>#REF!</v>
      </c>
      <c r="J37" s="601">
        <f>13979.32</f>
        <v>13979.32</v>
      </c>
      <c r="K37" s="602" t="e">
        <f t="shared" si="18"/>
        <v>#REF!</v>
      </c>
    </row>
    <row r="38" spans="1:13" ht="15.75" customHeight="1">
      <c r="A38" s="589" t="s">
        <v>1134</v>
      </c>
      <c r="B38" s="590" t="s">
        <v>779</v>
      </c>
      <c r="C38" s="591">
        <f t="shared" si="19"/>
        <v>350</v>
      </c>
      <c r="D38" s="591">
        <v>150</v>
      </c>
      <c r="E38" s="599">
        <f t="shared" si="20"/>
        <v>52500</v>
      </c>
      <c r="F38" s="584"/>
      <c r="G38" s="650" t="e">
        <f t="shared" si="16"/>
        <v>#REF!</v>
      </c>
      <c r="H38" s="591">
        <v>150</v>
      </c>
      <c r="I38" s="595" t="e">
        <f t="shared" si="21"/>
        <v>#REF!</v>
      </c>
      <c r="J38" s="601">
        <f>8923.84</f>
        <v>8923.84</v>
      </c>
      <c r="K38" s="602" t="e">
        <f t="shared" si="18"/>
        <v>#REF!</v>
      </c>
    </row>
    <row r="39" spans="1:13" ht="15.75" customHeight="1">
      <c r="A39" s="589" t="s">
        <v>1135</v>
      </c>
      <c r="B39" s="590" t="s">
        <v>779</v>
      </c>
      <c r="C39" s="591">
        <f>22*7*2</f>
        <v>308</v>
      </c>
      <c r="D39" s="591">
        <v>150</v>
      </c>
      <c r="E39" s="599">
        <f t="shared" si="20"/>
        <v>46200</v>
      </c>
      <c r="F39" s="584"/>
      <c r="G39" s="650" t="e">
        <f t="shared" si="16"/>
        <v>#REF!</v>
      </c>
      <c r="H39" s="591">
        <v>150</v>
      </c>
      <c r="I39" s="595" t="e">
        <f t="shared" si="21"/>
        <v>#REF!</v>
      </c>
      <c r="J39" s="601">
        <f>18480</f>
        <v>18480</v>
      </c>
      <c r="K39" s="602" t="e">
        <f t="shared" si="18"/>
        <v>#REF!</v>
      </c>
    </row>
    <row r="40" spans="1:13" ht="12.75" customHeight="1">
      <c r="A40" s="589" t="s">
        <v>1136</v>
      </c>
      <c r="B40" s="590" t="s">
        <v>779</v>
      </c>
      <c r="C40" s="591">
        <f>16*7*2</f>
        <v>224</v>
      </c>
      <c r="D40" s="591">
        <v>150</v>
      </c>
      <c r="E40" s="599">
        <f t="shared" si="20"/>
        <v>33600</v>
      </c>
      <c r="F40" s="584"/>
      <c r="G40" s="650" t="e">
        <f t="shared" si="16"/>
        <v>#REF!</v>
      </c>
      <c r="H40" s="591">
        <v>150</v>
      </c>
      <c r="I40" s="595" t="e">
        <f t="shared" si="21"/>
        <v>#REF!</v>
      </c>
      <c r="J40" s="601">
        <f>16800</f>
        <v>16800</v>
      </c>
      <c r="K40" s="602" t="e">
        <f t="shared" si="18"/>
        <v>#REF!</v>
      </c>
    </row>
    <row r="41" spans="1:13" ht="15" customHeight="1">
      <c r="A41" s="589" t="s">
        <v>1137</v>
      </c>
      <c r="B41" s="590" t="s">
        <v>779</v>
      </c>
      <c r="C41" s="591">
        <f>18*7*2</f>
        <v>252</v>
      </c>
      <c r="D41" s="591">
        <v>150</v>
      </c>
      <c r="E41" s="599">
        <f t="shared" si="20"/>
        <v>37800</v>
      </c>
      <c r="F41" s="584"/>
      <c r="G41" s="650" t="e">
        <f t="shared" si="16"/>
        <v>#REF!</v>
      </c>
      <c r="H41" s="591">
        <v>150</v>
      </c>
      <c r="I41" s="595" t="e">
        <f t="shared" si="21"/>
        <v>#REF!</v>
      </c>
      <c r="J41" s="601" t="e">
        <f>'Jan-Mar 16'!K41</f>
        <v>#REF!</v>
      </c>
      <c r="K41" s="602" t="e">
        <f t="shared" si="18"/>
        <v>#REF!</v>
      </c>
    </row>
    <row r="42" spans="1:13" ht="12.75" customHeight="1">
      <c r="A42" s="589" t="s">
        <v>1138</v>
      </c>
      <c r="B42" s="590" t="s">
        <v>779</v>
      </c>
      <c r="C42" s="591">
        <v>0</v>
      </c>
      <c r="D42" s="591">
        <v>0</v>
      </c>
      <c r="E42" s="599">
        <f t="shared" si="20"/>
        <v>0</v>
      </c>
      <c r="F42" s="607"/>
      <c r="G42" s="594"/>
      <c r="H42" s="591">
        <v>0</v>
      </c>
      <c r="I42" s="595" t="e">
        <f t="shared" si="21"/>
        <v>#REF!</v>
      </c>
      <c r="J42" s="601" t="e">
        <f>'Jan-Mar 16'!K42</f>
        <v>#REF!</v>
      </c>
      <c r="K42" s="602" t="e">
        <f t="shared" si="18"/>
        <v>#REF!</v>
      </c>
    </row>
    <row r="43" spans="1:13" ht="15.75" customHeight="1">
      <c r="A43" s="589" t="s">
        <v>1139</v>
      </c>
      <c r="B43" s="590" t="s">
        <v>779</v>
      </c>
      <c r="C43" s="591">
        <f>(12+15)*3*3</f>
        <v>243</v>
      </c>
      <c r="D43" s="591">
        <v>150</v>
      </c>
      <c r="E43" s="599">
        <f t="shared" si="20"/>
        <v>36450</v>
      </c>
      <c r="F43" s="584"/>
      <c r="G43" s="594" t="e">
        <f>I43/H43</f>
        <v>#REF!</v>
      </c>
      <c r="H43" s="591">
        <v>150</v>
      </c>
      <c r="I43" s="595" t="e">
        <f t="shared" si="21"/>
        <v>#REF!</v>
      </c>
      <c r="J43" s="601">
        <f>10377</f>
        <v>10377</v>
      </c>
      <c r="K43" s="602" t="e">
        <f t="shared" si="18"/>
        <v>#REF!</v>
      </c>
    </row>
    <row r="44" spans="1:13" ht="9.75" customHeight="1">
      <c r="A44" s="608"/>
      <c r="B44" s="283"/>
      <c r="C44" s="273"/>
      <c r="D44" s="273"/>
      <c r="E44" s="613"/>
      <c r="F44" s="614"/>
      <c r="G44" s="594"/>
      <c r="H44" s="595"/>
      <c r="I44" s="595"/>
      <c r="J44" s="601"/>
      <c r="K44" s="602"/>
    </row>
    <row r="45" spans="1:13" ht="13.5" customHeight="1">
      <c r="A45" s="615" t="s">
        <v>794</v>
      </c>
      <c r="B45" s="616"/>
      <c r="C45" s="617"/>
      <c r="D45" s="618"/>
      <c r="E45" s="617">
        <f>E8+E26+E28</f>
        <v>1329950</v>
      </c>
      <c r="F45" s="618"/>
      <c r="G45" s="617"/>
      <c r="H45" s="617"/>
      <c r="I45" s="618" t="e">
        <f t="shared" ref="I45:J45" si="22">I8+I26+I28</f>
        <v>#REF!</v>
      </c>
      <c r="J45" s="618" t="e">
        <f t="shared" si="22"/>
        <v>#REF!</v>
      </c>
      <c r="K45" s="619" t="e">
        <f>I45+J45</f>
        <v>#REF!</v>
      </c>
      <c r="M45" s="185"/>
    </row>
    <row r="46" spans="1:13" ht="15.75" customHeight="1">
      <c r="A46" s="582" t="s">
        <v>1243</v>
      </c>
      <c r="B46" s="445"/>
      <c r="C46" s="286"/>
      <c r="D46" s="286"/>
      <c r="E46" s="620"/>
      <c r="F46" s="584"/>
      <c r="G46" s="621"/>
      <c r="H46" s="596"/>
      <c r="I46" s="596"/>
      <c r="J46" s="597"/>
      <c r="K46" s="598"/>
    </row>
    <row r="47" spans="1:13" ht="13.5" customHeight="1">
      <c r="A47" s="608" t="s">
        <v>795</v>
      </c>
      <c r="B47" s="603" t="s">
        <v>796</v>
      </c>
      <c r="C47" s="604">
        <f>SUM(C48:C59)</f>
        <v>332</v>
      </c>
      <c r="D47" s="604">
        <f>E47/C47</f>
        <v>800</v>
      </c>
      <c r="E47" s="609">
        <f>SUM(E48:E59)</f>
        <v>265600</v>
      </c>
      <c r="F47" s="622"/>
      <c r="G47" s="648" t="e">
        <f>I47/H47</f>
        <v>#REF!</v>
      </c>
      <c r="H47" s="596">
        <v>800</v>
      </c>
      <c r="I47" s="596" t="e">
        <f>SUM(I48:I59)</f>
        <v>#REF!</v>
      </c>
      <c r="J47" s="597" t="e">
        <f>J62</f>
        <v>#REF!</v>
      </c>
      <c r="K47" s="598" t="e">
        <f t="shared" ref="K47:K62" si="23">I47+J47</f>
        <v>#REF!</v>
      </c>
    </row>
    <row r="48" spans="1:13" ht="14.25" customHeight="1">
      <c r="A48" s="589" t="s">
        <v>1128</v>
      </c>
      <c r="B48" s="590" t="s">
        <v>779</v>
      </c>
      <c r="C48" s="591">
        <v>0</v>
      </c>
      <c r="D48" s="591">
        <v>0</v>
      </c>
      <c r="E48" s="599">
        <v>0</v>
      </c>
      <c r="F48" s="584"/>
      <c r="G48" s="648"/>
      <c r="H48" s="591">
        <v>0</v>
      </c>
      <c r="I48" s="595" t="e">
        <f t="shared" ref="I48:I51" si="24">#REF!</f>
        <v>#REF!</v>
      </c>
      <c r="J48" s="601" t="e">
        <f>'Jan-Mar 16'!K48</f>
        <v>#REF!</v>
      </c>
      <c r="K48" s="602" t="e">
        <f t="shared" si="23"/>
        <v>#REF!</v>
      </c>
    </row>
    <row r="49" spans="1:11" ht="14.25" customHeight="1">
      <c r="A49" s="589" t="s">
        <v>1129</v>
      </c>
      <c r="B49" s="590" t="s">
        <v>796</v>
      </c>
      <c r="C49" s="591">
        <v>10</v>
      </c>
      <c r="D49" s="591">
        <v>800</v>
      </c>
      <c r="E49" s="599">
        <f t="shared" ref="E49:E51" si="25">C49*D49</f>
        <v>8000</v>
      </c>
      <c r="F49" s="584"/>
      <c r="G49" s="650" t="e">
        <f t="shared" ref="G49:G51" si="26">I49/H49</f>
        <v>#REF!</v>
      </c>
      <c r="H49" s="591">
        <v>800</v>
      </c>
      <c r="I49" s="595" t="e">
        <f t="shared" si="24"/>
        <v>#REF!</v>
      </c>
      <c r="J49" s="601" t="e">
        <f>'Jan-Mar 16'!K49</f>
        <v>#REF!</v>
      </c>
      <c r="K49" s="602" t="e">
        <f t="shared" si="23"/>
        <v>#REF!</v>
      </c>
    </row>
    <row r="50" spans="1:11" ht="16.5" customHeight="1">
      <c r="A50" s="589" t="s">
        <v>1130</v>
      </c>
      <c r="B50" s="590" t="s">
        <v>796</v>
      </c>
      <c r="C50" s="591">
        <v>20</v>
      </c>
      <c r="D50" s="591">
        <v>800</v>
      </c>
      <c r="E50" s="599">
        <f t="shared" si="25"/>
        <v>16000</v>
      </c>
      <c r="F50" s="584"/>
      <c r="G50" s="650" t="e">
        <f t="shared" si="26"/>
        <v>#REF!</v>
      </c>
      <c r="H50" s="591">
        <v>800</v>
      </c>
      <c r="I50" s="595" t="e">
        <f t="shared" si="24"/>
        <v>#REF!</v>
      </c>
      <c r="J50" s="601">
        <f>930.45</f>
        <v>930.45</v>
      </c>
      <c r="K50" s="602" t="e">
        <f t="shared" si="23"/>
        <v>#REF!</v>
      </c>
    </row>
    <row r="51" spans="1:11" ht="16.5" customHeight="1">
      <c r="A51" s="589" t="s">
        <v>1131</v>
      </c>
      <c r="B51" s="590" t="s">
        <v>796</v>
      </c>
      <c r="C51" s="591">
        <v>9</v>
      </c>
      <c r="D51" s="591">
        <v>800</v>
      </c>
      <c r="E51" s="599">
        <f t="shared" si="25"/>
        <v>7200</v>
      </c>
      <c r="F51" s="584"/>
      <c r="G51" s="650" t="e">
        <f t="shared" si="26"/>
        <v>#REF!</v>
      </c>
      <c r="H51" s="591">
        <v>800</v>
      </c>
      <c r="I51" s="595" t="e">
        <f t="shared" si="24"/>
        <v>#REF!</v>
      </c>
      <c r="J51" s="601">
        <f>10444.08</f>
        <v>10444.08</v>
      </c>
      <c r="K51" s="602" t="e">
        <f t="shared" si="23"/>
        <v>#REF!</v>
      </c>
    </row>
    <row r="52" spans="1:11" ht="10.5" customHeight="1">
      <c r="A52" s="589"/>
      <c r="B52" s="590"/>
      <c r="C52" s="591"/>
      <c r="D52" s="591"/>
      <c r="E52" s="599"/>
      <c r="F52" s="584"/>
      <c r="G52" s="650"/>
      <c r="H52" s="591"/>
      <c r="I52" s="595"/>
      <c r="J52" s="601" t="e">
        <f>'Jan-Mar 16'!K52</f>
        <v>#REF!</v>
      </c>
      <c r="K52" s="602" t="e">
        <f t="shared" si="23"/>
        <v>#REF!</v>
      </c>
    </row>
    <row r="53" spans="1:11" ht="14.25" customHeight="1">
      <c r="A53" s="589" t="s">
        <v>1133</v>
      </c>
      <c r="B53" s="590" t="s">
        <v>796</v>
      </c>
      <c r="C53" s="591">
        <f t="shared" ref="C53:C54" si="27">25*2</f>
        <v>50</v>
      </c>
      <c r="D53" s="591">
        <v>800</v>
      </c>
      <c r="E53" s="599">
        <f t="shared" ref="E53:E59" si="28">C53*D53</f>
        <v>40000</v>
      </c>
      <c r="F53" s="584"/>
      <c r="G53" s="650" t="e">
        <f t="shared" ref="G53:G57" si="29">I53/H53</f>
        <v>#REF!</v>
      </c>
      <c r="H53" s="591">
        <v>800</v>
      </c>
      <c r="I53" s="595" t="e">
        <f t="shared" ref="I53:I59" si="30">#REF!</f>
        <v>#REF!</v>
      </c>
      <c r="J53" s="601">
        <f>13119.29</f>
        <v>13119.29</v>
      </c>
      <c r="K53" s="602" t="e">
        <f t="shared" si="23"/>
        <v>#REF!</v>
      </c>
    </row>
    <row r="54" spans="1:11" ht="12.75" customHeight="1">
      <c r="A54" s="589" t="s">
        <v>1134</v>
      </c>
      <c r="B54" s="590" t="s">
        <v>796</v>
      </c>
      <c r="C54" s="591">
        <f t="shared" si="27"/>
        <v>50</v>
      </c>
      <c r="D54" s="591">
        <v>800</v>
      </c>
      <c r="E54" s="599">
        <f t="shared" si="28"/>
        <v>40000</v>
      </c>
      <c r="F54" s="584"/>
      <c r="G54" s="650" t="e">
        <f t="shared" si="29"/>
        <v>#REF!</v>
      </c>
      <c r="H54" s="591">
        <v>800</v>
      </c>
      <c r="I54" s="595" t="e">
        <f t="shared" si="30"/>
        <v>#REF!</v>
      </c>
      <c r="J54" s="601">
        <f>14279.59</f>
        <v>14279.59</v>
      </c>
      <c r="K54" s="602" t="e">
        <f t="shared" si="23"/>
        <v>#REF!</v>
      </c>
    </row>
    <row r="55" spans="1:11" ht="15" customHeight="1">
      <c r="A55" s="589" t="s">
        <v>1141</v>
      </c>
      <c r="B55" s="590" t="s">
        <v>796</v>
      </c>
      <c r="C55" s="591">
        <f>22*2</f>
        <v>44</v>
      </c>
      <c r="D55" s="591">
        <v>800</v>
      </c>
      <c r="E55" s="599">
        <f t="shared" si="28"/>
        <v>35200</v>
      </c>
      <c r="F55" s="584"/>
      <c r="G55" s="650" t="e">
        <f t="shared" si="29"/>
        <v>#REF!</v>
      </c>
      <c r="H55" s="591">
        <v>800</v>
      </c>
      <c r="I55" s="595" t="e">
        <f t="shared" si="30"/>
        <v>#REF!</v>
      </c>
      <c r="J55" s="601">
        <f>14080</f>
        <v>14080</v>
      </c>
      <c r="K55" s="602" t="e">
        <f t="shared" si="23"/>
        <v>#REF!</v>
      </c>
    </row>
    <row r="56" spans="1:11" ht="17.25" customHeight="1">
      <c r="A56" s="589" t="s">
        <v>1136</v>
      </c>
      <c r="B56" s="590" t="s">
        <v>796</v>
      </c>
      <c r="C56" s="591">
        <f>16*2</f>
        <v>32</v>
      </c>
      <c r="D56" s="591">
        <v>800</v>
      </c>
      <c r="E56" s="599">
        <f t="shared" si="28"/>
        <v>25600</v>
      </c>
      <c r="F56" s="584"/>
      <c r="G56" s="650" t="e">
        <f t="shared" si="29"/>
        <v>#REF!</v>
      </c>
      <c r="H56" s="591">
        <v>800</v>
      </c>
      <c r="I56" s="595" t="e">
        <f t="shared" si="30"/>
        <v>#REF!</v>
      </c>
      <c r="J56" s="601">
        <v>12800</v>
      </c>
      <c r="K56" s="602" t="e">
        <f t="shared" si="23"/>
        <v>#REF!</v>
      </c>
    </row>
    <row r="57" spans="1:11" ht="18" customHeight="1">
      <c r="A57" s="589" t="s">
        <v>1137</v>
      </c>
      <c r="B57" s="590" t="s">
        <v>796</v>
      </c>
      <c r="C57" s="591">
        <f>18*2</f>
        <v>36</v>
      </c>
      <c r="D57" s="591">
        <v>800</v>
      </c>
      <c r="E57" s="599">
        <f t="shared" si="28"/>
        <v>28800</v>
      </c>
      <c r="F57" s="584"/>
      <c r="G57" s="650" t="e">
        <f t="shared" si="29"/>
        <v>#REF!</v>
      </c>
      <c r="H57" s="591">
        <v>800</v>
      </c>
      <c r="I57" s="595" t="e">
        <f t="shared" si="30"/>
        <v>#REF!</v>
      </c>
      <c r="J57" s="601" t="e">
        <f>'Jan-Mar 16'!K57</f>
        <v>#REF!</v>
      </c>
      <c r="K57" s="602" t="e">
        <f t="shared" si="23"/>
        <v>#REF!</v>
      </c>
    </row>
    <row r="58" spans="1:11" ht="14.25" customHeight="1">
      <c r="A58" s="589" t="s">
        <v>1124</v>
      </c>
      <c r="B58" s="590" t="s">
        <v>796</v>
      </c>
      <c r="C58" s="591">
        <v>0</v>
      </c>
      <c r="D58" s="591">
        <v>0</v>
      </c>
      <c r="E58" s="599">
        <f t="shared" si="28"/>
        <v>0</v>
      </c>
      <c r="F58" s="584"/>
      <c r="G58" s="650"/>
      <c r="H58" s="591">
        <v>0</v>
      </c>
      <c r="I58" s="595" t="e">
        <f t="shared" si="30"/>
        <v>#REF!</v>
      </c>
      <c r="J58" s="601" t="e">
        <f>'Jan-Mar 16'!K58</f>
        <v>#REF!</v>
      </c>
      <c r="K58" s="602" t="e">
        <f t="shared" si="23"/>
        <v>#REF!</v>
      </c>
    </row>
    <row r="59" spans="1:11" ht="12.75" customHeight="1">
      <c r="A59" s="589" t="s">
        <v>1139</v>
      </c>
      <c r="B59" s="590" t="s">
        <v>796</v>
      </c>
      <c r="C59" s="591">
        <f>(12+15)*3</f>
        <v>81</v>
      </c>
      <c r="D59" s="591">
        <v>800</v>
      </c>
      <c r="E59" s="599">
        <f t="shared" si="28"/>
        <v>64800</v>
      </c>
      <c r="F59" s="584"/>
      <c r="G59" s="650" t="e">
        <f>I59/H59</f>
        <v>#REF!</v>
      </c>
      <c r="H59" s="591">
        <v>800</v>
      </c>
      <c r="I59" s="595" t="e">
        <f t="shared" si="30"/>
        <v>#REF!</v>
      </c>
      <c r="J59" s="601">
        <f>13985.06</f>
        <v>13985.06</v>
      </c>
      <c r="K59" s="602" t="e">
        <f t="shared" si="23"/>
        <v>#REF!</v>
      </c>
    </row>
    <row r="60" spans="1:11" ht="12" customHeight="1">
      <c r="A60" s="608"/>
      <c r="B60" s="603"/>
      <c r="C60" s="604"/>
      <c r="D60" s="604"/>
      <c r="E60" s="611"/>
      <c r="F60" s="584"/>
      <c r="G60" s="621"/>
      <c r="H60" s="604"/>
      <c r="I60" s="595"/>
      <c r="J60" s="601" t="e">
        <f>'Jan-Mar 16'!K60</f>
        <v>#REF!</v>
      </c>
      <c r="K60" s="602" t="e">
        <f t="shared" si="23"/>
        <v>#REF!</v>
      </c>
    </row>
    <row r="61" spans="1:11" ht="14.25" customHeight="1">
      <c r="A61" s="608" t="s">
        <v>1285</v>
      </c>
      <c r="B61" s="603" t="s">
        <v>745</v>
      </c>
      <c r="C61" s="604">
        <v>0</v>
      </c>
      <c r="D61" s="604">
        <v>150</v>
      </c>
      <c r="E61" s="611">
        <v>0</v>
      </c>
      <c r="F61" s="584"/>
      <c r="G61" s="621"/>
      <c r="H61" s="604">
        <v>150</v>
      </c>
      <c r="I61" s="595" t="e">
        <f>#REF!</f>
        <v>#REF!</v>
      </c>
      <c r="J61" s="601" t="e">
        <f>'Jan-Mar 16'!K61</f>
        <v>#REF!</v>
      </c>
      <c r="K61" s="602" t="e">
        <f t="shared" si="23"/>
        <v>#REF!</v>
      </c>
    </row>
    <row r="62" spans="1:11" ht="15" customHeight="1">
      <c r="A62" s="615" t="s">
        <v>816</v>
      </c>
      <c r="B62" s="616"/>
      <c r="C62" s="617"/>
      <c r="D62" s="618"/>
      <c r="E62" s="617">
        <f>E47+E61</f>
        <v>265600</v>
      </c>
      <c r="F62" s="623"/>
      <c r="G62" s="624"/>
      <c r="H62" s="625"/>
      <c r="I62" s="626" t="e">
        <f>I47+I61</f>
        <v>#REF!</v>
      </c>
      <c r="J62" s="627" t="e">
        <f>SUM(J48:J61)</f>
        <v>#REF!</v>
      </c>
      <c r="K62" s="619" t="e">
        <f t="shared" si="23"/>
        <v>#REF!</v>
      </c>
    </row>
    <row r="63" spans="1:11" ht="15.75" customHeight="1">
      <c r="A63" s="582" t="s">
        <v>1245</v>
      </c>
      <c r="B63" s="445"/>
      <c r="C63" s="286"/>
      <c r="D63" s="286"/>
      <c r="E63" s="620"/>
      <c r="F63" s="584"/>
      <c r="G63" s="621"/>
      <c r="H63" s="596"/>
      <c r="I63" s="596"/>
      <c r="J63" s="597"/>
      <c r="K63" s="598"/>
    </row>
    <row r="64" spans="1:11" ht="15" customHeight="1">
      <c r="A64" s="608" t="s">
        <v>1144</v>
      </c>
      <c r="B64" s="603" t="s">
        <v>818</v>
      </c>
      <c r="C64" s="604">
        <v>2</v>
      </c>
      <c r="D64" s="604">
        <v>30000</v>
      </c>
      <c r="E64" s="611">
        <f>C64*D64</f>
        <v>60000</v>
      </c>
      <c r="F64" s="584"/>
      <c r="G64" s="594">
        <v>0</v>
      </c>
      <c r="H64" s="604">
        <v>30000</v>
      </c>
      <c r="I64" s="596" t="e">
        <f t="shared" ref="I64:I74" si="31">#REF!</f>
        <v>#REF!</v>
      </c>
      <c r="J64" s="597" t="e">
        <f>'Jan-Mar 16'!K64</f>
        <v>#REF!</v>
      </c>
      <c r="K64" s="598" t="e">
        <f t="shared" ref="K64:K75" si="32">I64+J64</f>
        <v>#REF!</v>
      </c>
    </row>
    <row r="65" spans="1:13" ht="15" customHeight="1">
      <c r="A65" s="608" t="s">
        <v>819</v>
      </c>
      <c r="B65" s="603"/>
      <c r="C65" s="604">
        <f>SUM(C66:C71)</f>
        <v>21</v>
      </c>
      <c r="D65" s="604">
        <f>E65/C65</f>
        <v>2976.1904761904761</v>
      </c>
      <c r="E65" s="611">
        <f>SUM(E66:E71)</f>
        <v>62500</v>
      </c>
      <c r="F65" s="622"/>
      <c r="G65" s="594"/>
      <c r="H65" s="604"/>
      <c r="I65" s="596" t="e">
        <f t="shared" si="31"/>
        <v>#REF!</v>
      </c>
      <c r="J65" s="601">
        <f>9125.9</f>
        <v>9125.9</v>
      </c>
      <c r="K65" s="602" t="e">
        <f t="shared" si="32"/>
        <v>#REF!</v>
      </c>
    </row>
    <row r="66" spans="1:13" ht="13.5" customHeight="1">
      <c r="A66" s="589" t="s">
        <v>1246</v>
      </c>
      <c r="B66" s="590" t="s">
        <v>1146</v>
      </c>
      <c r="C66" s="591">
        <v>15</v>
      </c>
      <c r="D66" s="591">
        <v>800</v>
      </c>
      <c r="E66" s="599">
        <f t="shared" ref="E66:E71" si="33">C66*D66</f>
        <v>12000</v>
      </c>
      <c r="F66" s="584"/>
      <c r="G66" s="713" t="e">
        <f t="shared" ref="G66:G70" si="34">I66/H66</f>
        <v>#REF!</v>
      </c>
      <c r="H66" s="591">
        <v>800</v>
      </c>
      <c r="I66" s="595" t="e">
        <f t="shared" si="31"/>
        <v>#REF!</v>
      </c>
      <c r="J66" s="601">
        <v>3856.06</v>
      </c>
      <c r="K66" s="602" t="e">
        <f t="shared" si="32"/>
        <v>#REF!</v>
      </c>
    </row>
    <row r="67" spans="1:13" ht="14.25" customHeight="1">
      <c r="A67" s="589" t="s">
        <v>1147</v>
      </c>
      <c r="B67" s="590" t="s">
        <v>1148</v>
      </c>
      <c r="C67" s="591">
        <v>1</v>
      </c>
      <c r="D67" s="591">
        <v>10500</v>
      </c>
      <c r="E67" s="599">
        <f t="shared" si="33"/>
        <v>10500</v>
      </c>
      <c r="F67" s="584"/>
      <c r="G67" s="713" t="e">
        <f t="shared" si="34"/>
        <v>#REF!</v>
      </c>
      <c r="H67" s="591">
        <v>10500</v>
      </c>
      <c r="I67" s="595" t="e">
        <f t="shared" si="31"/>
        <v>#REF!</v>
      </c>
      <c r="J67" s="601">
        <f>2415.51</f>
        <v>2415.5100000000002</v>
      </c>
      <c r="K67" s="602" t="e">
        <f t="shared" si="32"/>
        <v>#REF!</v>
      </c>
    </row>
    <row r="68" spans="1:13" ht="12" customHeight="1">
      <c r="A68" s="589" t="s">
        <v>1149</v>
      </c>
      <c r="B68" s="590" t="s">
        <v>1148</v>
      </c>
      <c r="C68" s="591">
        <v>1</v>
      </c>
      <c r="D68" s="591">
        <v>20000</v>
      </c>
      <c r="E68" s="599">
        <f t="shared" si="33"/>
        <v>20000</v>
      </c>
      <c r="F68" s="584"/>
      <c r="G68" s="713" t="e">
        <f t="shared" si="34"/>
        <v>#REF!</v>
      </c>
      <c r="H68" s="591">
        <v>20000</v>
      </c>
      <c r="I68" s="595" t="e">
        <f t="shared" si="31"/>
        <v>#REF!</v>
      </c>
      <c r="J68" s="601">
        <f>100</f>
        <v>100</v>
      </c>
      <c r="K68" s="602" t="e">
        <f t="shared" si="32"/>
        <v>#REF!</v>
      </c>
    </row>
    <row r="69" spans="1:13" ht="25.5" customHeight="1">
      <c r="A69" s="589" t="s">
        <v>1150</v>
      </c>
      <c r="B69" s="590" t="s">
        <v>847</v>
      </c>
      <c r="C69" s="591">
        <v>3</v>
      </c>
      <c r="D69" s="591">
        <v>5000</v>
      </c>
      <c r="E69" s="599">
        <f t="shared" si="33"/>
        <v>15000</v>
      </c>
      <c r="F69" s="584"/>
      <c r="G69" s="713" t="e">
        <f t="shared" si="34"/>
        <v>#REF!</v>
      </c>
      <c r="H69" s="591">
        <v>5000</v>
      </c>
      <c r="I69" s="595" t="e">
        <f t="shared" si="31"/>
        <v>#REF!</v>
      </c>
      <c r="J69" s="601">
        <f>2754.33</f>
        <v>2754.33</v>
      </c>
      <c r="K69" s="602" t="e">
        <f t="shared" si="32"/>
        <v>#REF!</v>
      </c>
      <c r="M69" s="185"/>
    </row>
    <row r="70" spans="1:13" ht="15.75" customHeight="1">
      <c r="A70" s="589" t="s">
        <v>1247</v>
      </c>
      <c r="B70" s="590" t="s">
        <v>1148</v>
      </c>
      <c r="C70" s="591">
        <v>1</v>
      </c>
      <c r="D70" s="591">
        <v>5000</v>
      </c>
      <c r="E70" s="599">
        <f t="shared" si="33"/>
        <v>5000</v>
      </c>
      <c r="F70" s="584"/>
      <c r="G70" s="713" t="e">
        <f t="shared" si="34"/>
        <v>#REF!</v>
      </c>
      <c r="H70" s="591">
        <v>5000</v>
      </c>
      <c r="I70" s="595" t="e">
        <f t="shared" si="31"/>
        <v>#REF!</v>
      </c>
      <c r="J70" s="601" t="e">
        <f>'Jan-Mar 16'!K70</f>
        <v>#REF!</v>
      </c>
      <c r="K70" s="602" t="e">
        <f t="shared" si="32"/>
        <v>#REF!</v>
      </c>
    </row>
    <row r="71" spans="1:13" ht="15" customHeight="1">
      <c r="A71" s="589" t="s">
        <v>1152</v>
      </c>
      <c r="B71" s="590" t="s">
        <v>1148</v>
      </c>
      <c r="C71" s="591">
        <v>0</v>
      </c>
      <c r="D71" s="591">
        <v>0</v>
      </c>
      <c r="E71" s="599">
        <f t="shared" si="33"/>
        <v>0</v>
      </c>
      <c r="F71" s="584"/>
      <c r="G71" s="621"/>
      <c r="H71" s="596"/>
      <c r="I71" s="595" t="e">
        <f t="shared" si="31"/>
        <v>#REF!</v>
      </c>
      <c r="J71" s="601" t="e">
        <f>'Jan-Mar 16'!K71</f>
        <v>#REF!</v>
      </c>
      <c r="K71" s="602" t="e">
        <f t="shared" si="32"/>
        <v>#REF!</v>
      </c>
    </row>
    <row r="72" spans="1:13" ht="16.5" customHeight="1">
      <c r="A72" s="608" t="s">
        <v>1153</v>
      </c>
      <c r="B72" s="603"/>
      <c r="C72" s="604"/>
      <c r="D72" s="604"/>
      <c r="E72" s="611">
        <v>0</v>
      </c>
      <c r="F72" s="584"/>
      <c r="G72" s="621"/>
      <c r="H72" s="596"/>
      <c r="I72" s="595" t="e">
        <f t="shared" si="31"/>
        <v>#REF!</v>
      </c>
      <c r="J72" s="601" t="e">
        <f>'Jan-Mar 16'!K72</f>
        <v>#REF!</v>
      </c>
      <c r="K72" s="602" t="e">
        <f t="shared" si="32"/>
        <v>#REF!</v>
      </c>
    </row>
    <row r="73" spans="1:13" ht="16.5" customHeight="1">
      <c r="A73" s="608" t="s">
        <v>1154</v>
      </c>
      <c r="B73" s="603"/>
      <c r="C73" s="604"/>
      <c r="D73" s="604"/>
      <c r="E73" s="611">
        <v>0</v>
      </c>
      <c r="F73" s="584"/>
      <c r="G73" s="621"/>
      <c r="H73" s="596"/>
      <c r="I73" s="595" t="e">
        <f t="shared" si="31"/>
        <v>#REF!</v>
      </c>
      <c r="J73" s="601" t="e">
        <f>'Jan-Mar 16'!K73</f>
        <v>#REF!</v>
      </c>
      <c r="K73" s="602" t="e">
        <f t="shared" si="32"/>
        <v>#REF!</v>
      </c>
    </row>
    <row r="74" spans="1:13" ht="14.25" customHeight="1">
      <c r="A74" s="608" t="s">
        <v>949</v>
      </c>
      <c r="B74" s="603"/>
      <c r="C74" s="604"/>
      <c r="D74" s="604"/>
      <c r="E74" s="611">
        <v>0</v>
      </c>
      <c r="F74" s="584"/>
      <c r="G74" s="594"/>
      <c r="H74" s="595"/>
      <c r="I74" s="595" t="e">
        <f t="shared" si="31"/>
        <v>#REF!</v>
      </c>
      <c r="J74" s="601" t="e">
        <f>'Jan-Mar 16'!K74</f>
        <v>#REF!</v>
      </c>
      <c r="K74" s="602" t="e">
        <f t="shared" si="32"/>
        <v>#REF!</v>
      </c>
      <c r="M74" s="185"/>
    </row>
    <row r="75" spans="1:13" ht="16.5" customHeight="1">
      <c r="A75" s="615" t="s">
        <v>844</v>
      </c>
      <c r="B75" s="616"/>
      <c r="C75" s="617"/>
      <c r="D75" s="618"/>
      <c r="E75" s="617">
        <f>E64+E65+E72+E73+E74</f>
        <v>122500</v>
      </c>
      <c r="F75" s="618"/>
      <c r="G75" s="624"/>
      <c r="H75" s="625"/>
      <c r="I75" s="626" t="e">
        <f>I64+I65</f>
        <v>#REF!</v>
      </c>
      <c r="J75" s="712" t="e">
        <f>'Jan-Mar 16'!K75</f>
        <v>#REF!</v>
      </c>
      <c r="K75" s="619" t="e">
        <f t="shared" si="32"/>
        <v>#REF!</v>
      </c>
    </row>
    <row r="76" spans="1:13" ht="15.75" customHeight="1">
      <c r="A76" s="628" t="s">
        <v>845</v>
      </c>
      <c r="B76" s="629"/>
      <c r="C76" s="630"/>
      <c r="D76" s="630"/>
      <c r="E76" s="631"/>
      <c r="F76" s="632"/>
      <c r="G76" s="633"/>
      <c r="H76" s="634"/>
      <c r="I76" s="634"/>
      <c r="J76" s="635"/>
      <c r="K76" s="636"/>
    </row>
    <row r="77" spans="1:13" ht="13.5" customHeight="1">
      <c r="A77" s="608" t="s">
        <v>1248</v>
      </c>
      <c r="B77" s="603" t="s">
        <v>847</v>
      </c>
      <c r="C77" s="604">
        <f>SUM(C78:C79)</f>
        <v>6</v>
      </c>
      <c r="D77" s="604">
        <f>E77/C77</f>
        <v>3750</v>
      </c>
      <c r="E77" s="611">
        <f>SUM(E78:E79)</f>
        <v>22500</v>
      </c>
      <c r="F77" s="584"/>
      <c r="G77" s="594"/>
      <c r="H77" s="604"/>
      <c r="I77" s="595" t="e">
        <f t="shared" ref="I77:I82" si="35">#REF!</f>
        <v>#REF!</v>
      </c>
      <c r="J77" s="601">
        <f>8801.47</f>
        <v>8801.4699999999993</v>
      </c>
      <c r="K77" s="637" t="e">
        <f t="shared" ref="K77:K83" si="36">I77+J77</f>
        <v>#REF!</v>
      </c>
    </row>
    <row r="78" spans="1:13" ht="14.25" customHeight="1">
      <c r="A78" s="608" t="s">
        <v>1156</v>
      </c>
      <c r="B78" s="638" t="s">
        <v>847</v>
      </c>
      <c r="C78" s="639">
        <v>3</v>
      </c>
      <c r="D78" s="604">
        <v>2500</v>
      </c>
      <c r="E78" s="611">
        <f t="shared" ref="E78:E79" si="37">C78*D78</f>
        <v>7500</v>
      </c>
      <c r="F78" s="584"/>
      <c r="G78" s="713" t="e">
        <f t="shared" ref="G78:G79" si="38">I78/H78</f>
        <v>#REF!</v>
      </c>
      <c r="H78" s="604">
        <v>2500</v>
      </c>
      <c r="I78" s="595" t="e">
        <f t="shared" si="35"/>
        <v>#REF!</v>
      </c>
      <c r="J78" s="601">
        <f>264.32</f>
        <v>264.32</v>
      </c>
      <c r="K78" s="637" t="e">
        <f t="shared" si="36"/>
        <v>#REF!</v>
      </c>
    </row>
    <row r="79" spans="1:13" ht="12" customHeight="1">
      <c r="A79" s="589" t="s">
        <v>1157</v>
      </c>
      <c r="B79" s="640" t="s">
        <v>847</v>
      </c>
      <c r="C79" s="641">
        <v>3</v>
      </c>
      <c r="D79" s="591">
        <v>5000</v>
      </c>
      <c r="E79" s="599">
        <f t="shared" si="37"/>
        <v>15000</v>
      </c>
      <c r="F79" s="642"/>
      <c r="G79" s="713" t="e">
        <f t="shared" si="38"/>
        <v>#REF!</v>
      </c>
      <c r="H79" s="591">
        <v>5000</v>
      </c>
      <c r="I79" s="595" t="e">
        <f t="shared" si="35"/>
        <v>#REF!</v>
      </c>
      <c r="J79" s="601">
        <f>8537.14</f>
        <v>8537.14</v>
      </c>
      <c r="K79" s="637" t="e">
        <f t="shared" si="36"/>
        <v>#REF!</v>
      </c>
    </row>
    <row r="80" spans="1:13" ht="12.75" customHeight="1">
      <c r="A80" s="608" t="s">
        <v>849</v>
      </c>
      <c r="B80" s="603" t="s">
        <v>847</v>
      </c>
      <c r="C80" s="604">
        <v>0</v>
      </c>
      <c r="D80" s="604">
        <v>0</v>
      </c>
      <c r="E80" s="611">
        <v>0</v>
      </c>
      <c r="F80" s="584"/>
      <c r="G80" s="713"/>
      <c r="H80" s="604">
        <v>0</v>
      </c>
      <c r="I80" s="595" t="e">
        <f t="shared" si="35"/>
        <v>#REF!</v>
      </c>
      <c r="J80" s="601" t="e">
        <f>'Jan-Mar 16'!K80</f>
        <v>#REF!</v>
      </c>
      <c r="K80" s="637" t="e">
        <f t="shared" si="36"/>
        <v>#REF!</v>
      </c>
    </row>
    <row r="81" spans="1:11" ht="13.5" customHeight="1">
      <c r="A81" s="608" t="s">
        <v>1159</v>
      </c>
      <c r="B81" s="603" t="s">
        <v>847</v>
      </c>
      <c r="C81" s="604">
        <v>3</v>
      </c>
      <c r="D81" s="604">
        <v>10000</v>
      </c>
      <c r="E81" s="611">
        <f t="shared" ref="E81:E82" si="39">C81*D81</f>
        <v>30000</v>
      </c>
      <c r="F81" s="584"/>
      <c r="G81" s="713" t="e">
        <f t="shared" ref="G81:G82" si="40">I81/H81</f>
        <v>#REF!</v>
      </c>
      <c r="H81" s="604">
        <v>10000</v>
      </c>
      <c r="I81" s="595" t="e">
        <f t="shared" si="35"/>
        <v>#REF!</v>
      </c>
      <c r="J81" s="601">
        <f>5583.55</f>
        <v>5583.55</v>
      </c>
      <c r="K81" s="637" t="e">
        <f t="shared" si="36"/>
        <v>#REF!</v>
      </c>
    </row>
    <row r="82" spans="1:11" ht="26.25" customHeight="1">
      <c r="A82" s="608" t="s">
        <v>1249</v>
      </c>
      <c r="B82" s="603" t="s">
        <v>745</v>
      </c>
      <c r="C82" s="604">
        <v>36</v>
      </c>
      <c r="D82" s="604">
        <v>1600</v>
      </c>
      <c r="E82" s="611">
        <f t="shared" si="39"/>
        <v>57600</v>
      </c>
      <c r="F82" s="584"/>
      <c r="G82" s="713" t="e">
        <f t="shared" si="40"/>
        <v>#REF!</v>
      </c>
      <c r="H82" s="604">
        <v>1600</v>
      </c>
      <c r="I82" s="595" t="e">
        <f t="shared" si="35"/>
        <v>#REF!</v>
      </c>
      <c r="J82" s="601">
        <f>34150.33</f>
        <v>34150.33</v>
      </c>
      <c r="K82" s="637" t="e">
        <f t="shared" si="36"/>
        <v>#REF!</v>
      </c>
    </row>
    <row r="83" spans="1:11" ht="15.75" customHeight="1">
      <c r="A83" s="615" t="s">
        <v>852</v>
      </c>
      <c r="B83" s="645"/>
      <c r="C83" s="617"/>
      <c r="D83" s="618"/>
      <c r="E83" s="617">
        <f>E77+E80+E81+E82</f>
        <v>110100</v>
      </c>
      <c r="F83" s="618"/>
      <c r="G83" s="646"/>
      <c r="H83" s="625"/>
      <c r="I83" s="626" t="e">
        <f>I78+I80+I81+I82</f>
        <v>#REF!</v>
      </c>
      <c r="J83" s="627" t="e">
        <f>J77+J80+J81+J82</f>
        <v>#REF!</v>
      </c>
      <c r="K83" s="647" t="e">
        <f t="shared" si="36"/>
        <v>#REF!</v>
      </c>
    </row>
    <row r="84" spans="1:11" ht="17.25" customHeight="1">
      <c r="A84" s="582" t="s">
        <v>1250</v>
      </c>
      <c r="B84" s="285"/>
      <c r="C84" s="286"/>
      <c r="D84" s="286"/>
      <c r="E84" s="620"/>
      <c r="F84" s="584"/>
      <c r="G84" s="648"/>
      <c r="H84" s="596"/>
      <c r="I84" s="596"/>
      <c r="J84" s="597"/>
      <c r="K84" s="598"/>
    </row>
    <row r="85" spans="1:11" ht="15" customHeight="1">
      <c r="A85" s="608" t="s">
        <v>1286</v>
      </c>
      <c r="B85" s="603"/>
      <c r="C85" s="604"/>
      <c r="D85" s="604"/>
      <c r="E85" s="611">
        <v>0</v>
      </c>
      <c r="F85" s="584"/>
      <c r="G85" s="648"/>
      <c r="H85" s="596"/>
      <c r="I85" s="595" t="e">
        <f t="shared" ref="I85:I91" si="41">#REF!</f>
        <v>#REF!</v>
      </c>
      <c r="J85" s="601" t="e">
        <f>'Jan-Mar 16'!K85</f>
        <v>#REF!</v>
      </c>
      <c r="K85" s="602" t="e">
        <f t="shared" ref="K85:K91" si="42">I85+J85</f>
        <v>#REF!</v>
      </c>
    </row>
    <row r="86" spans="1:11" ht="13.5" customHeight="1">
      <c r="A86" s="608" t="s">
        <v>1287</v>
      </c>
      <c r="B86" s="603"/>
      <c r="C86" s="604"/>
      <c r="D86" s="604"/>
      <c r="E86" s="611">
        <f>E87</f>
        <v>28800</v>
      </c>
      <c r="F86" s="584"/>
      <c r="G86" s="648"/>
      <c r="H86" s="596"/>
      <c r="I86" s="595" t="e">
        <f t="shared" si="41"/>
        <v>#REF!</v>
      </c>
      <c r="J86" s="601" t="e">
        <f>'Jan-Mar 16'!K86</f>
        <v>#REF!</v>
      </c>
      <c r="K86" s="602" t="e">
        <f t="shared" si="42"/>
        <v>#REF!</v>
      </c>
    </row>
    <row r="87" spans="1:11" ht="13.5" customHeight="1">
      <c r="A87" s="589" t="s">
        <v>1253</v>
      </c>
      <c r="B87" s="590" t="s">
        <v>1165</v>
      </c>
      <c r="C87" s="591">
        <v>18</v>
      </c>
      <c r="D87" s="591">
        <v>1600</v>
      </c>
      <c r="E87" s="599">
        <f t="shared" ref="E87:E91" si="43">C87*D87</f>
        <v>28800</v>
      </c>
      <c r="F87" s="584"/>
      <c r="G87" s="650" t="e">
        <f t="shared" ref="G87:G91" si="44">I87/H87</f>
        <v>#REF!</v>
      </c>
      <c r="H87" s="591">
        <v>1600</v>
      </c>
      <c r="I87" s="595" t="e">
        <f t="shared" si="41"/>
        <v>#REF!</v>
      </c>
      <c r="J87" s="601">
        <v>1464.12</v>
      </c>
      <c r="K87" s="602" t="e">
        <f t="shared" si="42"/>
        <v>#REF!</v>
      </c>
    </row>
    <row r="88" spans="1:11" ht="12.75" customHeight="1">
      <c r="A88" s="608" t="s">
        <v>861</v>
      </c>
      <c r="B88" s="603" t="s">
        <v>863</v>
      </c>
      <c r="C88" s="604">
        <v>3</v>
      </c>
      <c r="D88" s="604">
        <v>7000</v>
      </c>
      <c r="E88" s="611">
        <f t="shared" si="43"/>
        <v>21000</v>
      </c>
      <c r="F88" s="584"/>
      <c r="G88" s="650" t="e">
        <f t="shared" si="44"/>
        <v>#REF!</v>
      </c>
      <c r="H88" s="604">
        <v>7000</v>
      </c>
      <c r="I88" s="595" t="e">
        <f t="shared" si="41"/>
        <v>#REF!</v>
      </c>
      <c r="J88" s="601">
        <v>3491.08</v>
      </c>
      <c r="K88" s="602" t="e">
        <f t="shared" si="42"/>
        <v>#REF!</v>
      </c>
    </row>
    <row r="89" spans="1:11" ht="15.75" customHeight="1">
      <c r="A89" s="608" t="s">
        <v>864</v>
      </c>
      <c r="B89" s="603" t="s">
        <v>1166</v>
      </c>
      <c r="C89" s="604">
        <v>3</v>
      </c>
      <c r="D89" s="604">
        <v>15000</v>
      </c>
      <c r="E89" s="611">
        <f t="shared" si="43"/>
        <v>45000</v>
      </c>
      <c r="F89" s="584"/>
      <c r="G89" s="650" t="e">
        <f t="shared" si="44"/>
        <v>#REF!</v>
      </c>
      <c r="H89" s="604">
        <v>15000</v>
      </c>
      <c r="I89" s="595" t="e">
        <f t="shared" si="41"/>
        <v>#REF!</v>
      </c>
      <c r="J89" s="601" t="e">
        <f>'Jan-Mar 16'!K89</f>
        <v>#REF!</v>
      </c>
      <c r="K89" s="602" t="e">
        <f t="shared" si="42"/>
        <v>#REF!</v>
      </c>
    </row>
    <row r="90" spans="1:11" ht="15" customHeight="1">
      <c r="A90" s="608" t="s">
        <v>865</v>
      </c>
      <c r="B90" s="603" t="s">
        <v>1168</v>
      </c>
      <c r="C90" s="604">
        <v>60</v>
      </c>
      <c r="D90" s="604">
        <v>1100</v>
      </c>
      <c r="E90" s="611">
        <f t="shared" si="43"/>
        <v>66000</v>
      </c>
      <c r="F90" s="584"/>
      <c r="G90" s="650" t="e">
        <f t="shared" si="44"/>
        <v>#REF!</v>
      </c>
      <c r="H90" s="604">
        <v>1100</v>
      </c>
      <c r="I90" s="595" t="e">
        <f t="shared" si="41"/>
        <v>#REF!</v>
      </c>
      <c r="J90" s="601">
        <v>3768.32</v>
      </c>
      <c r="K90" s="602" t="e">
        <f t="shared" si="42"/>
        <v>#REF!</v>
      </c>
    </row>
    <row r="91" spans="1:11" ht="12" customHeight="1">
      <c r="A91" s="608" t="s">
        <v>871</v>
      </c>
      <c r="B91" s="603" t="s">
        <v>847</v>
      </c>
      <c r="C91" s="604">
        <v>3</v>
      </c>
      <c r="D91" s="604">
        <v>1000</v>
      </c>
      <c r="E91" s="611">
        <f t="shared" si="43"/>
        <v>3000</v>
      </c>
      <c r="F91" s="584"/>
      <c r="G91" s="650" t="e">
        <f t="shared" si="44"/>
        <v>#REF!</v>
      </c>
      <c r="H91" s="604">
        <v>1000</v>
      </c>
      <c r="I91" s="595" t="e">
        <f t="shared" si="41"/>
        <v>#REF!</v>
      </c>
      <c r="J91" s="601">
        <v>1737.46</v>
      </c>
      <c r="K91" s="602" t="e">
        <f t="shared" si="42"/>
        <v>#REF!</v>
      </c>
    </row>
    <row r="92" spans="1:11" ht="15.75" customHeight="1">
      <c r="A92" s="608" t="s">
        <v>1288</v>
      </c>
      <c r="B92" s="603" t="s">
        <v>1171</v>
      </c>
      <c r="C92" s="604">
        <f>SUM(C93:C98)</f>
        <v>13</v>
      </c>
      <c r="D92" s="604">
        <f>E92/C92</f>
        <v>5000</v>
      </c>
      <c r="E92" s="611">
        <f>SUM(E93:E98)</f>
        <v>65000</v>
      </c>
      <c r="F92" s="649"/>
      <c r="G92" s="650"/>
      <c r="H92" s="604"/>
      <c r="I92" s="595"/>
      <c r="J92" s="601"/>
      <c r="K92" s="602"/>
    </row>
    <row r="93" spans="1:11" ht="14.25" customHeight="1">
      <c r="A93" s="589" t="s">
        <v>1133</v>
      </c>
      <c r="B93" s="590" t="s">
        <v>1171</v>
      </c>
      <c r="C93" s="591">
        <v>2</v>
      </c>
      <c r="D93" s="591">
        <v>5000</v>
      </c>
      <c r="E93" s="599">
        <f t="shared" ref="E93:E99" si="45">C93*D93</f>
        <v>10000</v>
      </c>
      <c r="F93" s="584"/>
      <c r="G93" s="650" t="e">
        <f t="shared" ref="G93:G99" si="46">I93/H93</f>
        <v>#REF!</v>
      </c>
      <c r="H93" s="591">
        <v>5000</v>
      </c>
      <c r="I93" s="595" t="e">
        <f t="shared" ref="I93:I99" si="47">#REF!</f>
        <v>#REF!</v>
      </c>
      <c r="J93" s="601">
        <v>1979.32</v>
      </c>
      <c r="K93" s="602" t="e">
        <f t="shared" ref="K93:K100" si="48">I93+J93</f>
        <v>#REF!</v>
      </c>
    </row>
    <row r="94" spans="1:11" ht="12.75" customHeight="1">
      <c r="A94" s="589" t="s">
        <v>1172</v>
      </c>
      <c r="B94" s="590" t="s">
        <v>1171</v>
      </c>
      <c r="C94" s="591">
        <v>2</v>
      </c>
      <c r="D94" s="591">
        <v>5000</v>
      </c>
      <c r="E94" s="599">
        <f t="shared" si="45"/>
        <v>10000</v>
      </c>
      <c r="F94" s="584"/>
      <c r="G94" s="650" t="e">
        <f t="shared" si="46"/>
        <v>#REF!</v>
      </c>
      <c r="H94" s="591">
        <v>5000</v>
      </c>
      <c r="I94" s="595" t="e">
        <f t="shared" si="47"/>
        <v>#REF!</v>
      </c>
      <c r="J94" s="601">
        <v>1106.6300000000001</v>
      </c>
      <c r="K94" s="602" t="e">
        <f t="shared" si="48"/>
        <v>#REF!</v>
      </c>
    </row>
    <row r="95" spans="1:11" ht="14.25" customHeight="1">
      <c r="A95" s="589" t="s">
        <v>1173</v>
      </c>
      <c r="B95" s="590" t="s">
        <v>1171</v>
      </c>
      <c r="C95" s="591">
        <v>2</v>
      </c>
      <c r="D95" s="591">
        <v>5000</v>
      </c>
      <c r="E95" s="599">
        <f t="shared" si="45"/>
        <v>10000</v>
      </c>
      <c r="F95" s="584"/>
      <c r="G95" s="650" t="e">
        <f t="shared" si="46"/>
        <v>#REF!</v>
      </c>
      <c r="H95" s="591">
        <v>5000</v>
      </c>
      <c r="I95" s="595" t="e">
        <f t="shared" si="47"/>
        <v>#REF!</v>
      </c>
      <c r="J95" s="601">
        <v>4000</v>
      </c>
      <c r="K95" s="602" t="e">
        <f t="shared" si="48"/>
        <v>#REF!</v>
      </c>
    </row>
    <row r="96" spans="1:11" ht="13.5" customHeight="1">
      <c r="A96" s="589" t="s">
        <v>1174</v>
      </c>
      <c r="B96" s="590" t="s">
        <v>1171</v>
      </c>
      <c r="C96" s="591">
        <v>2</v>
      </c>
      <c r="D96" s="591">
        <v>5000</v>
      </c>
      <c r="E96" s="599">
        <f t="shared" si="45"/>
        <v>10000</v>
      </c>
      <c r="F96" s="584"/>
      <c r="G96" s="650" t="e">
        <f t="shared" si="46"/>
        <v>#REF!</v>
      </c>
      <c r="H96" s="591">
        <v>5000</v>
      </c>
      <c r="I96" s="595" t="e">
        <f t="shared" si="47"/>
        <v>#REF!</v>
      </c>
      <c r="J96" s="601">
        <v>5000</v>
      </c>
      <c r="K96" s="602" t="e">
        <f t="shared" si="48"/>
        <v>#REF!</v>
      </c>
    </row>
    <row r="97" spans="1:13" ht="15" customHeight="1">
      <c r="A97" s="589" t="s">
        <v>1175</v>
      </c>
      <c r="B97" s="590" t="s">
        <v>1171</v>
      </c>
      <c r="C97" s="591">
        <v>2</v>
      </c>
      <c r="D97" s="591">
        <v>5000</v>
      </c>
      <c r="E97" s="599">
        <f t="shared" si="45"/>
        <v>10000</v>
      </c>
      <c r="F97" s="584"/>
      <c r="G97" s="650" t="e">
        <f t="shared" si="46"/>
        <v>#REF!</v>
      </c>
      <c r="H97" s="591">
        <v>5000</v>
      </c>
      <c r="I97" s="595" t="e">
        <f t="shared" si="47"/>
        <v>#REF!</v>
      </c>
      <c r="J97" s="601" t="e">
        <f>'Jan-Mar 16'!K97</f>
        <v>#REF!</v>
      </c>
      <c r="K97" s="602" t="e">
        <f t="shared" si="48"/>
        <v>#REF!</v>
      </c>
    </row>
    <row r="98" spans="1:13" ht="12.75" customHeight="1">
      <c r="A98" s="589" t="s">
        <v>1139</v>
      </c>
      <c r="B98" s="590" t="s">
        <v>1171</v>
      </c>
      <c r="C98" s="591">
        <v>3</v>
      </c>
      <c r="D98" s="591">
        <v>5000</v>
      </c>
      <c r="E98" s="599">
        <f t="shared" si="45"/>
        <v>15000</v>
      </c>
      <c r="F98" s="584"/>
      <c r="G98" s="650" t="e">
        <f t="shared" si="46"/>
        <v>#REF!</v>
      </c>
      <c r="H98" s="591">
        <v>5000</v>
      </c>
      <c r="I98" s="595" t="e">
        <f t="shared" si="47"/>
        <v>#REF!</v>
      </c>
      <c r="J98" s="601">
        <v>1962.89</v>
      </c>
      <c r="K98" s="602" t="e">
        <f t="shared" si="48"/>
        <v>#REF!</v>
      </c>
    </row>
    <row r="99" spans="1:13" ht="12.75" customHeight="1">
      <c r="A99" s="608" t="s">
        <v>1289</v>
      </c>
      <c r="B99" s="603"/>
      <c r="C99" s="604">
        <v>3</v>
      </c>
      <c r="D99" s="604">
        <v>20000</v>
      </c>
      <c r="E99" s="611">
        <f t="shared" si="45"/>
        <v>60000</v>
      </c>
      <c r="F99" s="584"/>
      <c r="G99" s="650" t="e">
        <f t="shared" si="46"/>
        <v>#REF!</v>
      </c>
      <c r="H99" s="604">
        <v>20000</v>
      </c>
      <c r="I99" s="595" t="e">
        <f t="shared" si="47"/>
        <v>#REF!</v>
      </c>
      <c r="J99" s="601">
        <v>57694.07</v>
      </c>
      <c r="K99" s="602" t="e">
        <f t="shared" si="48"/>
        <v>#REF!</v>
      </c>
      <c r="M99" s="185"/>
    </row>
    <row r="100" spans="1:13" ht="15.75" customHeight="1">
      <c r="A100" s="615" t="s">
        <v>910</v>
      </c>
      <c r="B100" s="651"/>
      <c r="C100" s="617"/>
      <c r="D100" s="618"/>
      <c r="E100" s="617">
        <f>E85+E86+E88+E89+E90+E91+E92+E99</f>
        <v>288800</v>
      </c>
      <c r="F100" s="618"/>
      <c r="G100" s="652"/>
      <c r="H100" s="625"/>
      <c r="I100" s="626" t="e">
        <f t="shared" ref="I100:J100" si="49">SUM(I85:I99)</f>
        <v>#REF!</v>
      </c>
      <c r="J100" s="627" t="e">
        <f t="shared" si="49"/>
        <v>#REF!</v>
      </c>
      <c r="K100" s="647" t="e">
        <f t="shared" si="48"/>
        <v>#REF!</v>
      </c>
    </row>
    <row r="101" spans="1:13" ht="15.75" customHeight="1">
      <c r="A101" s="653" t="s">
        <v>878</v>
      </c>
      <c r="B101" s="654"/>
      <c r="C101" s="655">
        <f>SUM(C102:C104)</f>
        <v>20</v>
      </c>
      <c r="D101" s="655">
        <f>E101/C101</f>
        <v>2000</v>
      </c>
      <c r="E101" s="609">
        <f>SUM(E102:E104)</f>
        <v>40000</v>
      </c>
      <c r="F101" s="632"/>
      <c r="G101" s="656"/>
      <c r="H101" s="657"/>
      <c r="I101" s="657"/>
      <c r="J101" s="658"/>
      <c r="K101" s="602"/>
    </row>
    <row r="102" spans="1:13" ht="14.25" customHeight="1">
      <c r="A102" s="589" t="s">
        <v>1177</v>
      </c>
      <c r="B102" s="590" t="s">
        <v>1178</v>
      </c>
      <c r="C102" s="591">
        <v>20</v>
      </c>
      <c r="D102" s="591">
        <v>2000</v>
      </c>
      <c r="E102" s="599">
        <f t="shared" ref="E102:E104" si="50">C102*D102</f>
        <v>40000</v>
      </c>
      <c r="F102" s="632"/>
      <c r="G102" s="650" t="e">
        <f>I102/H102</f>
        <v>#REF!</v>
      </c>
      <c r="H102" s="714">
        <v>2000</v>
      </c>
      <c r="I102" s="601" t="e">
        <f t="shared" ref="I102:I104" si="51">#REF!</f>
        <v>#REF!</v>
      </c>
      <c r="J102" s="601">
        <v>4149.05</v>
      </c>
      <c r="K102" s="602" t="e">
        <f t="shared" ref="K102:K110" si="52">I102+J102</f>
        <v>#REF!</v>
      </c>
    </row>
    <row r="103" spans="1:13" ht="12.75" customHeight="1">
      <c r="A103" s="589" t="s">
        <v>1179</v>
      </c>
      <c r="B103" s="590"/>
      <c r="C103" s="591">
        <v>0</v>
      </c>
      <c r="D103" s="591">
        <v>0</v>
      </c>
      <c r="E103" s="599">
        <f t="shared" si="50"/>
        <v>0</v>
      </c>
      <c r="F103" s="632"/>
      <c r="G103" s="656"/>
      <c r="H103" s="658"/>
      <c r="I103" s="601" t="e">
        <f t="shared" si="51"/>
        <v>#REF!</v>
      </c>
      <c r="J103" s="601" t="e">
        <f>'Jan-Mar 16'!K103</f>
        <v>#REF!</v>
      </c>
      <c r="K103" s="602" t="e">
        <f t="shared" si="52"/>
        <v>#REF!</v>
      </c>
    </row>
    <row r="104" spans="1:13" ht="17.25" customHeight="1">
      <c r="A104" s="589" t="s">
        <v>1180</v>
      </c>
      <c r="B104" s="590"/>
      <c r="C104" s="591">
        <v>0</v>
      </c>
      <c r="D104" s="591">
        <v>0</v>
      </c>
      <c r="E104" s="599">
        <f t="shared" si="50"/>
        <v>0</v>
      </c>
      <c r="F104" s="632"/>
      <c r="G104" s="656"/>
      <c r="H104" s="658"/>
      <c r="I104" s="601" t="e">
        <f t="shared" si="51"/>
        <v>#REF!</v>
      </c>
      <c r="J104" s="601" t="e">
        <f>'Jan-Mar 16'!K104</f>
        <v>#REF!</v>
      </c>
      <c r="K104" s="602" t="e">
        <f t="shared" si="52"/>
        <v>#REF!</v>
      </c>
    </row>
    <row r="105" spans="1:13" ht="14.25" customHeight="1">
      <c r="A105" s="615" t="s">
        <v>882</v>
      </c>
      <c r="B105" s="651"/>
      <c r="C105" s="617"/>
      <c r="D105" s="618"/>
      <c r="E105" s="617">
        <f>E101</f>
        <v>40000</v>
      </c>
      <c r="F105" s="607"/>
      <c r="G105" s="652"/>
      <c r="H105" s="625"/>
      <c r="I105" s="627" t="e">
        <f t="shared" ref="I105:J105" si="53">SUM(I102:I104)</f>
        <v>#REF!</v>
      </c>
      <c r="J105" s="627" t="e">
        <f t="shared" si="53"/>
        <v>#REF!</v>
      </c>
      <c r="K105" s="619" t="e">
        <f t="shared" si="52"/>
        <v>#REF!</v>
      </c>
    </row>
    <row r="106" spans="1:13" ht="13.5" customHeight="1">
      <c r="A106" s="659" t="s">
        <v>1256</v>
      </c>
      <c r="B106" s="660"/>
      <c r="C106" s="661"/>
      <c r="D106" s="662"/>
      <c r="E106" s="663">
        <f>E45+E62+E75+E83+E100+E105</f>
        <v>2156950</v>
      </c>
      <c r="F106" s="663"/>
      <c r="G106" s="664"/>
      <c r="H106" s="665"/>
      <c r="I106" s="627" t="e">
        <f t="shared" ref="I106:J106" si="54">I105+I100+I83+I75+I62+I45</f>
        <v>#REF!</v>
      </c>
      <c r="J106" s="627" t="e">
        <f t="shared" si="54"/>
        <v>#REF!</v>
      </c>
      <c r="K106" s="666" t="e">
        <f t="shared" si="52"/>
        <v>#REF!</v>
      </c>
      <c r="M106" s="185"/>
    </row>
    <row r="107" spans="1:13" ht="25.5" customHeight="1">
      <c r="A107" s="667" t="s">
        <v>1181</v>
      </c>
      <c r="B107" s="668"/>
      <c r="C107" s="669"/>
      <c r="D107" s="670"/>
      <c r="E107" s="671">
        <f>E106*5%</f>
        <v>107847.5</v>
      </c>
      <c r="F107" s="672"/>
      <c r="G107" s="673"/>
      <c r="H107" s="674"/>
      <c r="I107" s="627" t="e">
        <f>#REF!</f>
        <v>#REF!</v>
      </c>
      <c r="J107" s="675">
        <f>4009.43</f>
        <v>4009.43</v>
      </c>
      <c r="K107" s="676" t="e">
        <f t="shared" si="52"/>
        <v>#REF!</v>
      </c>
      <c r="M107" s="185"/>
    </row>
    <row r="108" spans="1:13" ht="18.75" customHeight="1">
      <c r="A108" s="677" t="s">
        <v>1257</v>
      </c>
      <c r="B108" s="678"/>
      <c r="C108" s="679"/>
      <c r="D108" s="680"/>
      <c r="E108" s="679">
        <f>E106+E107</f>
        <v>2264797.5</v>
      </c>
      <c r="F108" s="679"/>
      <c r="G108" s="681"/>
      <c r="H108" s="682"/>
      <c r="I108" s="627" t="e">
        <f t="shared" ref="I108:J108" si="55">I106+I107</f>
        <v>#REF!</v>
      </c>
      <c r="J108" s="683" t="e">
        <f t="shared" si="55"/>
        <v>#REF!</v>
      </c>
      <c r="K108" s="666" t="e">
        <f t="shared" si="52"/>
        <v>#REF!</v>
      </c>
    </row>
    <row r="109" spans="1:13" ht="25.5" customHeight="1">
      <c r="A109" s="667" t="s">
        <v>1290</v>
      </c>
      <c r="B109" s="684"/>
      <c r="C109" s="669"/>
      <c r="D109" s="670"/>
      <c r="E109" s="671">
        <f>E108*0.068993</f>
        <v>156255.17391750001</v>
      </c>
      <c r="F109" s="685"/>
      <c r="G109" s="686"/>
      <c r="H109" s="674"/>
      <c r="I109" s="627" t="e">
        <f>#REF!</f>
        <v>#REF!</v>
      </c>
      <c r="J109" s="675" t="e">
        <f>'Jan-Mar 16'!K109</f>
        <v>#REF!</v>
      </c>
      <c r="K109" s="676" t="e">
        <f t="shared" si="52"/>
        <v>#REF!</v>
      </c>
    </row>
    <row r="110" spans="1:13" ht="12.75" customHeight="1">
      <c r="A110" s="687" t="s">
        <v>887</v>
      </c>
      <c r="B110" s="688"/>
      <c r="C110" s="679"/>
      <c r="D110" s="680"/>
      <c r="E110" s="679">
        <f>E108+E109</f>
        <v>2421052.6739174998</v>
      </c>
      <c r="F110" s="679"/>
      <c r="G110" s="689"/>
      <c r="H110" s="682"/>
      <c r="I110" s="627" t="e">
        <f t="shared" ref="I110:J110" si="56">I108+I109</f>
        <v>#REF!</v>
      </c>
      <c r="J110" s="683" t="e">
        <f t="shared" si="56"/>
        <v>#REF!</v>
      </c>
      <c r="K110" s="666" t="e">
        <f t="shared" si="52"/>
        <v>#REF!</v>
      </c>
    </row>
    <row r="111" spans="1:13" ht="18" customHeight="1">
      <c r="A111" s="690" t="s">
        <v>1291</v>
      </c>
      <c r="B111" s="691"/>
      <c r="C111" s="692"/>
      <c r="D111" s="693"/>
      <c r="E111" s="694"/>
      <c r="F111" s="695"/>
      <c r="G111" s="696"/>
      <c r="H111" s="697"/>
      <c r="I111" s="626"/>
      <c r="J111" s="698"/>
      <c r="K111" s="699"/>
    </row>
    <row r="112" spans="1:13" ht="14.25" customHeight="1">
      <c r="A112" s="700" t="s">
        <v>1260</v>
      </c>
      <c r="B112" s="701"/>
      <c r="C112" s="702"/>
      <c r="D112" s="703"/>
      <c r="E112" s="704">
        <f>E110+E111</f>
        <v>2421052.6739174998</v>
      </c>
      <c r="F112" s="704"/>
      <c r="G112" s="705"/>
      <c r="H112" s="706"/>
      <c r="I112" s="626" t="e">
        <f t="shared" ref="I112:J112" si="57">I110+I111</f>
        <v>#REF!</v>
      </c>
      <c r="J112" s="707" t="e">
        <f t="shared" si="57"/>
        <v>#REF!</v>
      </c>
      <c r="K112" s="708" t="e">
        <f>I112+J112</f>
        <v>#REF!</v>
      </c>
    </row>
    <row r="113" spans="1:11" ht="15.75" customHeight="1">
      <c r="A113" s="709" t="s">
        <v>1261</v>
      </c>
      <c r="B113" s="710"/>
      <c r="C113" s="710"/>
      <c r="D113" s="710"/>
      <c r="E113" s="710"/>
      <c r="F113" s="710"/>
      <c r="G113" s="710"/>
      <c r="H113" s="710"/>
      <c r="I113" s="710"/>
      <c r="J113" s="710"/>
      <c r="K113" s="710"/>
    </row>
    <row r="114" spans="1:11" ht="23.25" customHeight="1">
      <c r="A114" s="1049" t="s">
        <v>1292</v>
      </c>
      <c r="B114" s="942"/>
      <c r="C114" s="942"/>
      <c r="D114" s="942"/>
      <c r="E114" s="942"/>
      <c r="F114" s="942"/>
      <c r="G114" s="942"/>
      <c r="H114" s="942"/>
      <c r="I114" s="942"/>
      <c r="J114" s="942"/>
      <c r="K114" s="942"/>
    </row>
    <row r="115" spans="1:11" ht="26.25" customHeight="1">
      <c r="A115" s="1049" t="s">
        <v>1278</v>
      </c>
      <c r="B115" s="942"/>
      <c r="C115" s="942"/>
      <c r="D115" s="942"/>
      <c r="E115" s="942"/>
      <c r="F115" s="942"/>
      <c r="G115" s="942"/>
      <c r="H115" s="942"/>
      <c r="I115" s="942"/>
      <c r="J115" s="942"/>
      <c r="K115" s="942"/>
    </row>
    <row r="116" spans="1:11" ht="15.75" customHeight="1">
      <c r="A116" s="710" t="s">
        <v>1032</v>
      </c>
      <c r="B116" s="710"/>
      <c r="C116" s="710"/>
      <c r="D116" s="710"/>
      <c r="E116" s="710"/>
      <c r="F116" s="710"/>
      <c r="G116" s="710"/>
      <c r="H116" s="710"/>
      <c r="I116" s="710" t="s">
        <v>1033</v>
      </c>
      <c r="J116" s="710"/>
      <c r="K116" s="710"/>
    </row>
    <row r="117" spans="1:11" ht="15.75" customHeight="1">
      <c r="A117" s="710"/>
      <c r="B117" s="710"/>
      <c r="C117" s="710"/>
      <c r="D117" s="710"/>
      <c r="E117" s="710"/>
      <c r="F117" s="710"/>
      <c r="G117" s="710"/>
      <c r="H117" s="710"/>
      <c r="I117" s="710"/>
      <c r="J117" s="710"/>
      <c r="K117" s="710"/>
    </row>
    <row r="118" spans="1:11" ht="19.5" customHeight="1">
      <c r="A118" s="710" t="s">
        <v>149</v>
      </c>
      <c r="B118" s="710"/>
      <c r="C118" s="710"/>
      <c r="D118" s="710"/>
      <c r="E118" s="710"/>
      <c r="F118" s="710"/>
      <c r="G118" s="710"/>
      <c r="H118" s="710"/>
      <c r="I118" s="710" t="s">
        <v>1034</v>
      </c>
      <c r="J118" s="710"/>
      <c r="K118" s="711"/>
    </row>
    <row r="119" spans="1:11" ht="15.75" customHeight="1"/>
    <row r="120" spans="1:11" ht="15.75" customHeight="1">
      <c r="K120" s="185"/>
    </row>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15:K115"/>
    <mergeCell ref="B1:F1"/>
    <mergeCell ref="B2:I2"/>
    <mergeCell ref="B4:E4"/>
    <mergeCell ref="G4:K4"/>
    <mergeCell ref="A114:K114"/>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00"/>
  <sheetViews>
    <sheetView workbookViewId="0"/>
  </sheetViews>
  <sheetFormatPr defaultColWidth="14.42578125" defaultRowHeight="15" customHeight="1"/>
  <cols>
    <col min="1" max="1" width="8.7109375" customWidth="1"/>
    <col min="2" max="2" width="22.42578125" customWidth="1"/>
    <col min="3" max="3" width="27.7109375" customWidth="1"/>
    <col min="4" max="4" width="12.5703125" customWidth="1"/>
    <col min="5" max="5" width="11.28515625" customWidth="1"/>
    <col min="6" max="6" width="11.42578125" customWidth="1"/>
    <col min="7" max="7" width="12" customWidth="1"/>
    <col min="8" max="8" width="11.5703125" customWidth="1"/>
    <col min="9" max="9" width="22.85546875" customWidth="1"/>
    <col min="10" max="10" width="12.5703125" customWidth="1"/>
    <col min="11" max="26" width="10.7109375" customWidth="1"/>
  </cols>
  <sheetData>
    <row r="1" spans="1:10">
      <c r="A1" s="1"/>
      <c r="B1" s="2"/>
      <c r="C1" s="2"/>
      <c r="D1" s="2"/>
      <c r="E1" s="2"/>
      <c r="F1" s="2"/>
      <c r="G1" s="2"/>
      <c r="H1" s="2"/>
      <c r="I1" s="3"/>
    </row>
    <row r="2" spans="1:10">
      <c r="A2" s="4"/>
      <c r="B2" s="5"/>
      <c r="C2" s="5"/>
      <c r="D2" s="5"/>
      <c r="E2" s="5"/>
      <c r="F2" s="5"/>
      <c r="G2" s="5"/>
      <c r="H2" s="5"/>
      <c r="I2" s="6"/>
    </row>
    <row r="3" spans="1:10">
      <c r="A3" s="4"/>
      <c r="B3" s="5"/>
      <c r="C3" s="5"/>
      <c r="D3" s="5"/>
      <c r="E3" s="5"/>
      <c r="F3" s="5"/>
      <c r="G3" s="5"/>
      <c r="H3" s="5"/>
      <c r="I3" s="6"/>
    </row>
    <row r="4" spans="1:10">
      <c r="A4" s="4"/>
      <c r="B4" s="5"/>
      <c r="C4" s="5"/>
      <c r="D4" s="5"/>
      <c r="E4" s="5"/>
      <c r="F4" s="5"/>
      <c r="G4" s="5"/>
      <c r="H4" s="5"/>
      <c r="I4" s="6"/>
    </row>
    <row r="5" spans="1:10">
      <c r="A5" s="7" t="s">
        <v>0</v>
      </c>
      <c r="B5" s="8"/>
      <c r="C5" s="8"/>
      <c r="D5" s="9"/>
      <c r="E5" s="9"/>
      <c r="F5" s="9"/>
      <c r="G5" s="9"/>
      <c r="H5" s="9"/>
      <c r="I5" s="10"/>
      <c r="J5" s="11"/>
    </row>
    <row r="6" spans="1:10">
      <c r="A6" s="7" t="s">
        <v>1</v>
      </c>
      <c r="B6" s="8"/>
      <c r="C6" s="8"/>
      <c r="D6" s="9"/>
      <c r="E6" s="9"/>
      <c r="F6" s="9"/>
      <c r="G6" s="9"/>
      <c r="H6" s="9"/>
      <c r="I6" s="10"/>
      <c r="J6" s="11"/>
    </row>
    <row r="7" spans="1:10" ht="15.75">
      <c r="A7" s="974" t="s">
        <v>368</v>
      </c>
      <c r="B7" s="965"/>
      <c r="C7" s="965"/>
      <c r="D7" s="965"/>
      <c r="E7" s="965"/>
      <c r="F7" s="965"/>
      <c r="G7" s="965"/>
      <c r="H7" s="965"/>
      <c r="I7" s="966"/>
      <c r="J7" s="11"/>
    </row>
    <row r="8" spans="1:10" ht="15.75">
      <c r="A8" s="974" t="s">
        <v>369</v>
      </c>
      <c r="B8" s="965"/>
      <c r="C8" s="965"/>
      <c r="D8" s="965"/>
      <c r="E8" s="965"/>
      <c r="F8" s="965"/>
      <c r="G8" s="965"/>
      <c r="H8" s="965"/>
      <c r="I8" s="966"/>
      <c r="J8" s="11"/>
    </row>
    <row r="9" spans="1:10" ht="31.5" customHeight="1">
      <c r="A9" s="967" t="s">
        <v>4</v>
      </c>
      <c r="B9" s="969" t="s">
        <v>5</v>
      </c>
      <c r="C9" s="971" t="s">
        <v>6</v>
      </c>
      <c r="D9" s="969" t="s">
        <v>7</v>
      </c>
      <c r="E9" s="969" t="s">
        <v>8</v>
      </c>
      <c r="F9" s="961" t="s">
        <v>9</v>
      </c>
      <c r="G9" s="935"/>
      <c r="H9" s="958"/>
      <c r="I9" s="962" t="s">
        <v>10</v>
      </c>
      <c r="J9" s="11"/>
    </row>
    <row r="10" spans="1:10" ht="26.25" customHeight="1">
      <c r="A10" s="968"/>
      <c r="B10" s="970"/>
      <c r="C10" s="970"/>
      <c r="D10" s="970"/>
      <c r="E10" s="970"/>
      <c r="F10" s="12" t="s">
        <v>11</v>
      </c>
      <c r="G10" s="12" t="s">
        <v>12</v>
      </c>
      <c r="H10" s="12" t="s">
        <v>13</v>
      </c>
      <c r="I10" s="963"/>
      <c r="J10" s="11"/>
    </row>
    <row r="11" spans="1:10" ht="17.25" customHeight="1">
      <c r="A11" s="13"/>
      <c r="B11" s="957" t="s">
        <v>370</v>
      </c>
      <c r="C11" s="935"/>
      <c r="D11" s="935"/>
      <c r="E11" s="958"/>
      <c r="F11" s="12"/>
      <c r="G11" s="12"/>
      <c r="H11" s="12"/>
      <c r="I11" s="14"/>
      <c r="J11" s="11"/>
    </row>
    <row r="12" spans="1:10">
      <c r="A12" s="143"/>
      <c r="B12" s="17"/>
      <c r="C12" s="12" t="s">
        <v>371</v>
      </c>
      <c r="D12" s="17"/>
      <c r="E12" s="17"/>
      <c r="F12" s="18"/>
      <c r="G12" s="19"/>
      <c r="H12" s="18">
        <f>0</f>
        <v>0</v>
      </c>
      <c r="I12" s="20"/>
      <c r="J12" s="11"/>
    </row>
    <row r="13" spans="1:10" ht="26.25" customHeight="1">
      <c r="A13" s="144" t="s">
        <v>372</v>
      </c>
      <c r="B13" s="51" t="s">
        <v>59</v>
      </c>
      <c r="C13" s="27" t="s">
        <v>373</v>
      </c>
      <c r="D13" s="145" t="s">
        <v>374</v>
      </c>
      <c r="E13" s="55" t="s">
        <v>66</v>
      </c>
      <c r="F13" s="146">
        <f>2000000</f>
        <v>2000000</v>
      </c>
      <c r="G13" s="147"/>
      <c r="H13" s="32">
        <f t="shared" ref="H13:H22" si="0">H12+F13-G13</f>
        <v>2000000</v>
      </c>
      <c r="I13" s="20"/>
      <c r="J13" s="11"/>
    </row>
    <row r="14" spans="1:10" ht="20.25" customHeight="1">
      <c r="A14" s="144" t="s">
        <v>372</v>
      </c>
      <c r="B14" s="148" t="s">
        <v>375</v>
      </c>
      <c r="C14" s="17" t="s">
        <v>376</v>
      </c>
      <c r="D14" s="145" t="s">
        <v>377</v>
      </c>
      <c r="E14" s="24" t="s">
        <v>19</v>
      </c>
      <c r="F14" s="19"/>
      <c r="G14" s="19">
        <f>35400</f>
        <v>35400</v>
      </c>
      <c r="H14" s="32">
        <f t="shared" si="0"/>
        <v>1964600</v>
      </c>
      <c r="I14" s="20" t="s">
        <v>20</v>
      </c>
      <c r="J14" s="11"/>
    </row>
    <row r="15" spans="1:10" ht="27" customHeight="1">
      <c r="A15" s="144" t="s">
        <v>372</v>
      </c>
      <c r="B15" s="148" t="s">
        <v>375</v>
      </c>
      <c r="C15" s="17" t="s">
        <v>378</v>
      </c>
      <c r="D15" s="145" t="s">
        <v>379</v>
      </c>
      <c r="E15" s="24"/>
      <c r="F15" s="19"/>
      <c r="G15" s="19">
        <v>5900</v>
      </c>
      <c r="H15" s="32">
        <f t="shared" si="0"/>
        <v>1958700</v>
      </c>
      <c r="I15" s="20" t="s">
        <v>20</v>
      </c>
      <c r="J15" s="11"/>
    </row>
    <row r="16" spans="1:10" ht="36" customHeight="1">
      <c r="A16" s="144" t="s">
        <v>372</v>
      </c>
      <c r="B16" s="148" t="s">
        <v>59</v>
      </c>
      <c r="C16" s="34" t="s">
        <v>380</v>
      </c>
      <c r="D16" s="145" t="s">
        <v>381</v>
      </c>
      <c r="E16" s="145" t="s">
        <v>382</v>
      </c>
      <c r="F16" s="18">
        <f>-5000</f>
        <v>-5000</v>
      </c>
      <c r="G16" s="32"/>
      <c r="H16" s="32">
        <f t="shared" si="0"/>
        <v>1953700</v>
      </c>
      <c r="I16" s="20"/>
      <c r="J16" s="11"/>
    </row>
    <row r="17" spans="1:10" ht="39">
      <c r="A17" s="144" t="s">
        <v>372</v>
      </c>
      <c r="B17" s="148" t="s">
        <v>383</v>
      </c>
      <c r="C17" s="34" t="s">
        <v>384</v>
      </c>
      <c r="D17" s="149" t="s">
        <v>385</v>
      </c>
      <c r="E17" s="29" t="s">
        <v>19</v>
      </c>
      <c r="F17" s="19"/>
      <c r="G17" s="35">
        <f>1345104</f>
        <v>1345104</v>
      </c>
      <c r="H17" s="32">
        <f t="shared" si="0"/>
        <v>608596</v>
      </c>
      <c r="I17" s="36" t="s">
        <v>386</v>
      </c>
      <c r="J17" s="11"/>
    </row>
    <row r="18" spans="1:10" ht="25.5">
      <c r="A18" s="144" t="s">
        <v>372</v>
      </c>
      <c r="B18" s="148" t="s">
        <v>375</v>
      </c>
      <c r="C18" s="45" t="s">
        <v>387</v>
      </c>
      <c r="D18" s="145" t="s">
        <v>388</v>
      </c>
      <c r="E18" s="24" t="s">
        <v>19</v>
      </c>
      <c r="F18" s="19"/>
      <c r="G18" s="19">
        <f>23808</f>
        <v>23808</v>
      </c>
      <c r="H18" s="32">
        <f t="shared" si="0"/>
        <v>584788</v>
      </c>
      <c r="I18" s="20" t="s">
        <v>20</v>
      </c>
      <c r="J18" s="11"/>
    </row>
    <row r="19" spans="1:10" ht="30.75" customHeight="1">
      <c r="A19" s="144" t="s">
        <v>389</v>
      </c>
      <c r="B19" s="148" t="s">
        <v>375</v>
      </c>
      <c r="C19" s="27" t="s">
        <v>390</v>
      </c>
      <c r="D19" s="145" t="s">
        <v>391</v>
      </c>
      <c r="E19" s="55" t="s">
        <v>66</v>
      </c>
      <c r="F19" s="18">
        <f>38470</f>
        <v>38470</v>
      </c>
      <c r="G19" s="18"/>
      <c r="H19" s="32">
        <f t="shared" si="0"/>
        <v>623258</v>
      </c>
      <c r="I19" s="36"/>
      <c r="J19" s="11"/>
    </row>
    <row r="20" spans="1:10" ht="24" customHeight="1">
      <c r="A20" s="144" t="s">
        <v>389</v>
      </c>
      <c r="B20" s="148" t="s">
        <v>375</v>
      </c>
      <c r="C20" s="17" t="s">
        <v>376</v>
      </c>
      <c r="D20" s="145" t="s">
        <v>392</v>
      </c>
      <c r="E20" s="24" t="s">
        <v>19</v>
      </c>
      <c r="F20" s="19"/>
      <c r="G20" s="19">
        <f>1180</f>
        <v>1180</v>
      </c>
      <c r="H20" s="32">
        <f t="shared" si="0"/>
        <v>622078</v>
      </c>
      <c r="I20" s="20" t="s">
        <v>20</v>
      </c>
      <c r="J20" s="46"/>
    </row>
    <row r="21" spans="1:10" ht="27" customHeight="1">
      <c r="A21" s="144" t="s">
        <v>393</v>
      </c>
      <c r="B21" s="148" t="s">
        <v>383</v>
      </c>
      <c r="C21" s="34" t="s">
        <v>394</v>
      </c>
      <c r="D21" s="149" t="s">
        <v>385</v>
      </c>
      <c r="E21" s="24"/>
      <c r="F21" s="19"/>
      <c r="G21" s="18">
        <f>-1345104</f>
        <v>-1345104</v>
      </c>
      <c r="H21" s="32">
        <f t="shared" si="0"/>
        <v>1967182</v>
      </c>
      <c r="I21" s="36" t="s">
        <v>386</v>
      </c>
      <c r="J21" s="11"/>
    </row>
    <row r="22" spans="1:10" ht="15.75" customHeight="1">
      <c r="A22" s="144" t="s">
        <v>393</v>
      </c>
      <c r="B22" s="148" t="s">
        <v>375</v>
      </c>
      <c r="C22" s="45" t="s">
        <v>395</v>
      </c>
      <c r="D22" s="145" t="s">
        <v>396</v>
      </c>
      <c r="E22" s="24"/>
      <c r="F22" s="19"/>
      <c r="G22" s="18">
        <f>-23808</f>
        <v>-23808</v>
      </c>
      <c r="H22" s="32">
        <f t="shared" si="0"/>
        <v>1990990</v>
      </c>
      <c r="I22" s="20" t="s">
        <v>20</v>
      </c>
      <c r="J22" s="11"/>
    </row>
    <row r="23" spans="1:10" ht="15.75" customHeight="1">
      <c r="A23" s="150"/>
      <c r="B23" s="151"/>
      <c r="C23" s="152"/>
      <c r="D23" s="153"/>
      <c r="E23" s="154"/>
      <c r="F23" s="98"/>
      <c r="G23" s="98"/>
      <c r="H23" s="97"/>
      <c r="I23" s="155"/>
      <c r="J23" s="11"/>
    </row>
    <row r="24" spans="1:10" ht="15.75" customHeight="1">
      <c r="A24" s="156"/>
      <c r="B24" s="124" t="s">
        <v>143</v>
      </c>
      <c r="C24" s="102"/>
      <c r="D24" s="157"/>
      <c r="E24" s="158"/>
      <c r="F24" s="101">
        <f t="shared" ref="F24:G24" si="1">SUM(F12:F23)</f>
        <v>2033470</v>
      </c>
      <c r="G24" s="101">
        <f t="shared" si="1"/>
        <v>42480</v>
      </c>
      <c r="H24" s="159">
        <f>H22</f>
        <v>1990990</v>
      </c>
      <c r="I24" s="102"/>
      <c r="J24" s="11"/>
    </row>
    <row r="25" spans="1:10" ht="15.75" customHeight="1">
      <c r="A25" s="160"/>
      <c r="B25" s="124" t="s">
        <v>217</v>
      </c>
      <c r="C25" s="160"/>
      <c r="D25" s="160"/>
      <c r="E25" s="160"/>
      <c r="F25" s="101">
        <f t="shared" ref="F25:H25" si="2">F24/655.957</f>
        <v>3100.0050308175687</v>
      </c>
      <c r="G25" s="101">
        <f t="shared" si="2"/>
        <v>64.760342522451936</v>
      </c>
      <c r="H25" s="101">
        <f t="shared" si="2"/>
        <v>3035.2446882951172</v>
      </c>
      <c r="I25" s="160"/>
    </row>
    <row r="26" spans="1:10" ht="15.75" customHeight="1">
      <c r="H26" s="88"/>
    </row>
    <row r="27" spans="1:10" ht="15.75" customHeight="1">
      <c r="F27" s="88"/>
    </row>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1:E11"/>
    <mergeCell ref="F9:H9"/>
    <mergeCell ref="I9:I10"/>
    <mergeCell ref="A7:I7"/>
    <mergeCell ref="A8:I8"/>
    <mergeCell ref="A9:A10"/>
    <mergeCell ref="B9:B10"/>
    <mergeCell ref="C9:C10"/>
    <mergeCell ref="D9:D10"/>
    <mergeCell ref="E9:E10"/>
  </mergeCells>
  <pageMargins left="0" right="0" top="0.74803149606299213" bottom="0.74803149606299213"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00"/>
  <sheetViews>
    <sheetView workbookViewId="0"/>
  </sheetViews>
  <sheetFormatPr defaultColWidth="14.42578125" defaultRowHeight="15" customHeight="1"/>
  <cols>
    <col min="1" max="1" width="8.7109375" customWidth="1"/>
    <col min="2" max="2" width="22.42578125" customWidth="1"/>
    <col min="3" max="3" width="27.7109375" customWidth="1"/>
    <col min="4" max="4" width="12.5703125" customWidth="1"/>
    <col min="5" max="5" width="13" customWidth="1"/>
    <col min="6" max="6" width="12.7109375" customWidth="1"/>
    <col min="7" max="7" width="13.140625" customWidth="1"/>
    <col min="8" max="8" width="22.85546875" customWidth="1"/>
    <col min="9" max="9" width="12.5703125" customWidth="1"/>
    <col min="10" max="26" width="10.7109375" customWidth="1"/>
  </cols>
  <sheetData>
    <row r="1" spans="1:9">
      <c r="A1" s="1"/>
      <c r="B1" s="2"/>
      <c r="C1" s="2"/>
      <c r="D1" s="2"/>
      <c r="E1" s="2"/>
      <c r="F1" s="2"/>
      <c r="G1" s="2"/>
      <c r="H1" s="3"/>
    </row>
    <row r="2" spans="1:9">
      <c r="A2" s="4"/>
      <c r="B2" s="5"/>
      <c r="C2" s="5"/>
      <c r="D2" s="5"/>
      <c r="E2" s="5"/>
      <c r="F2" s="5"/>
      <c r="G2" s="5"/>
      <c r="H2" s="6"/>
    </row>
    <row r="3" spans="1:9">
      <c r="A3" s="4"/>
      <c r="B3" s="5"/>
      <c r="C3" s="5"/>
      <c r="D3" s="5"/>
      <c r="E3" s="5"/>
      <c r="F3" s="5"/>
      <c r="G3" s="5"/>
      <c r="H3" s="6"/>
    </row>
    <row r="4" spans="1:9">
      <c r="A4" s="4"/>
      <c r="B4" s="5"/>
      <c r="C4" s="5"/>
      <c r="D4" s="5"/>
      <c r="E4" s="5"/>
      <c r="F4" s="5"/>
      <c r="G4" s="5"/>
      <c r="H4" s="6"/>
    </row>
    <row r="5" spans="1:9">
      <c r="A5" s="7" t="s">
        <v>0</v>
      </c>
      <c r="B5" s="8"/>
      <c r="C5" s="8"/>
      <c r="D5" s="9"/>
      <c r="E5" s="9"/>
      <c r="F5" s="9"/>
      <c r="G5" s="9"/>
      <c r="H5" s="10"/>
      <c r="I5" s="11"/>
    </row>
    <row r="6" spans="1:9">
      <c r="A6" s="7" t="s">
        <v>1</v>
      </c>
      <c r="B6" s="8"/>
      <c r="C6" s="8"/>
      <c r="D6" s="9"/>
      <c r="E6" s="9"/>
      <c r="F6" s="9"/>
      <c r="G6" s="9"/>
      <c r="H6" s="10"/>
      <c r="I6" s="11"/>
    </row>
    <row r="7" spans="1:9" ht="15.75">
      <c r="A7" s="972" t="s">
        <v>397</v>
      </c>
      <c r="B7" s="965"/>
      <c r="C7" s="965"/>
      <c r="D7" s="965"/>
      <c r="E7" s="965"/>
      <c r="F7" s="965"/>
      <c r="G7" s="965"/>
      <c r="H7" s="966"/>
      <c r="I7" s="11"/>
    </row>
    <row r="8" spans="1:9" ht="15.75">
      <c r="A8" s="972" t="s">
        <v>398</v>
      </c>
      <c r="B8" s="965"/>
      <c r="C8" s="965"/>
      <c r="D8" s="965"/>
      <c r="E8" s="965"/>
      <c r="F8" s="965"/>
      <c r="G8" s="965"/>
      <c r="H8" s="966"/>
      <c r="I8" s="11"/>
    </row>
    <row r="9" spans="1:9" ht="31.5" customHeight="1">
      <c r="A9" s="977" t="s">
        <v>4</v>
      </c>
      <c r="B9" s="971" t="s">
        <v>5</v>
      </c>
      <c r="C9" s="971" t="s">
        <v>6</v>
      </c>
      <c r="D9" s="971" t="s">
        <v>7</v>
      </c>
      <c r="E9" s="971" t="s">
        <v>8</v>
      </c>
      <c r="F9" s="975" t="s">
        <v>350</v>
      </c>
      <c r="G9" s="958"/>
      <c r="H9" s="976" t="s">
        <v>10</v>
      </c>
      <c r="I9" s="11"/>
    </row>
    <row r="10" spans="1:9" ht="26.25" customHeight="1">
      <c r="A10" s="968"/>
      <c r="B10" s="970"/>
      <c r="C10" s="970"/>
      <c r="D10" s="970"/>
      <c r="E10" s="970"/>
      <c r="F10" s="161" t="s">
        <v>351</v>
      </c>
      <c r="G10" s="161" t="s">
        <v>352</v>
      </c>
      <c r="H10" s="963"/>
      <c r="I10" s="11"/>
    </row>
    <row r="11" spans="1:9" ht="17.25" customHeight="1">
      <c r="A11" s="13"/>
      <c r="B11" s="973" t="s">
        <v>353</v>
      </c>
      <c r="C11" s="935"/>
      <c r="D11" s="935"/>
      <c r="E11" s="958"/>
      <c r="F11" s="12"/>
      <c r="G11" s="12"/>
      <c r="H11" s="14"/>
      <c r="I11" s="11"/>
    </row>
    <row r="12" spans="1:9">
      <c r="A12" s="143"/>
      <c r="B12" s="17"/>
      <c r="C12" s="12" t="s">
        <v>371</v>
      </c>
      <c r="D12" s="17"/>
      <c r="E12" s="17"/>
      <c r="F12" s="18"/>
      <c r="G12" s="19"/>
      <c r="H12" s="20"/>
      <c r="I12" s="11"/>
    </row>
    <row r="13" spans="1:9" ht="26.25">
      <c r="A13" s="15">
        <v>42009</v>
      </c>
      <c r="B13" s="148" t="s">
        <v>399</v>
      </c>
      <c r="C13" s="34" t="s">
        <v>400</v>
      </c>
      <c r="D13" s="145" t="s">
        <v>401</v>
      </c>
      <c r="E13" s="24" t="s">
        <v>66</v>
      </c>
      <c r="F13" s="19">
        <v>252545</v>
      </c>
      <c r="G13" s="147"/>
      <c r="H13" s="20" t="s">
        <v>402</v>
      </c>
      <c r="I13" s="11"/>
    </row>
    <row r="14" spans="1:9">
      <c r="A14" s="15">
        <v>42013</v>
      </c>
      <c r="B14" s="148" t="s">
        <v>399</v>
      </c>
      <c r="C14" s="17" t="s">
        <v>403</v>
      </c>
      <c r="D14" s="145" t="s">
        <v>404</v>
      </c>
      <c r="E14" s="24" t="s">
        <v>26</v>
      </c>
      <c r="F14" s="19">
        <v>10000000</v>
      </c>
      <c r="G14" s="19"/>
      <c r="H14" s="20"/>
      <c r="I14" s="11"/>
    </row>
    <row r="15" spans="1:9">
      <c r="A15" s="15">
        <v>42016</v>
      </c>
      <c r="B15" s="148" t="s">
        <v>405</v>
      </c>
      <c r="C15" s="17" t="s">
        <v>406</v>
      </c>
      <c r="D15" s="145" t="s">
        <v>407</v>
      </c>
      <c r="E15" s="24">
        <v>9062144</v>
      </c>
      <c r="F15" s="19"/>
      <c r="G15" s="19">
        <v>150000</v>
      </c>
      <c r="H15" s="20" t="s">
        <v>408</v>
      </c>
      <c r="I15" s="11"/>
    </row>
    <row r="16" spans="1:9" ht="26.25">
      <c r="A16" s="15">
        <v>42016</v>
      </c>
      <c r="B16" s="148" t="s">
        <v>409</v>
      </c>
      <c r="C16" s="17" t="s">
        <v>406</v>
      </c>
      <c r="D16" s="145" t="s">
        <v>410</v>
      </c>
      <c r="E16" s="24">
        <v>9062145</v>
      </c>
      <c r="F16" s="19"/>
      <c r="G16" s="19">
        <v>100000</v>
      </c>
      <c r="H16" s="36" t="s">
        <v>411</v>
      </c>
      <c r="I16" s="11"/>
    </row>
    <row r="17" spans="1:9">
      <c r="A17" s="15">
        <v>42031</v>
      </c>
      <c r="B17" s="148" t="s">
        <v>412</v>
      </c>
      <c r="C17" s="17" t="s">
        <v>413</v>
      </c>
      <c r="D17" s="145" t="s">
        <v>414</v>
      </c>
      <c r="E17" s="24">
        <v>9062146</v>
      </c>
      <c r="F17" s="19"/>
      <c r="G17" s="19">
        <v>1639892</v>
      </c>
      <c r="H17" s="20" t="s">
        <v>415</v>
      </c>
      <c r="I17" s="11"/>
    </row>
    <row r="18" spans="1:9">
      <c r="A18" s="15">
        <v>42031</v>
      </c>
      <c r="B18" s="148" t="s">
        <v>405</v>
      </c>
      <c r="C18" s="17" t="s">
        <v>413</v>
      </c>
      <c r="D18" s="145" t="s">
        <v>416</v>
      </c>
      <c r="E18" s="24">
        <v>9062147</v>
      </c>
      <c r="F18" s="19"/>
      <c r="G18" s="19">
        <v>1653881</v>
      </c>
      <c r="H18" s="20" t="s">
        <v>408</v>
      </c>
      <c r="I18" s="11"/>
    </row>
    <row r="19" spans="1:9" ht="26.25">
      <c r="A19" s="15">
        <v>42031</v>
      </c>
      <c r="B19" s="148" t="s">
        <v>409</v>
      </c>
      <c r="C19" s="17" t="s">
        <v>413</v>
      </c>
      <c r="D19" s="145" t="s">
        <v>417</v>
      </c>
      <c r="E19" s="24">
        <v>9062148</v>
      </c>
      <c r="F19" s="19"/>
      <c r="G19" s="19">
        <v>1507094</v>
      </c>
      <c r="H19" s="36" t="s">
        <v>411</v>
      </c>
      <c r="I19" s="11"/>
    </row>
    <row r="20" spans="1:9">
      <c r="A20" s="15">
        <v>42031</v>
      </c>
      <c r="B20" s="148" t="s">
        <v>399</v>
      </c>
      <c r="C20" s="17" t="s">
        <v>403</v>
      </c>
      <c r="D20" s="145" t="s">
        <v>418</v>
      </c>
      <c r="E20" s="24" t="s">
        <v>26</v>
      </c>
      <c r="F20" s="19">
        <v>10000000</v>
      </c>
      <c r="G20" s="19"/>
      <c r="H20" s="20"/>
      <c r="I20" s="46"/>
    </row>
    <row r="21" spans="1:9" ht="27" customHeight="1">
      <c r="A21" s="15">
        <v>42031</v>
      </c>
      <c r="B21" s="162" t="s">
        <v>88</v>
      </c>
      <c r="C21" s="17" t="s">
        <v>419</v>
      </c>
      <c r="D21" s="145" t="s">
        <v>420</v>
      </c>
      <c r="E21" s="24" t="s">
        <v>26</v>
      </c>
      <c r="F21" s="19"/>
      <c r="G21" s="19">
        <v>2394243</v>
      </c>
      <c r="H21" s="20" t="s">
        <v>421</v>
      </c>
      <c r="I21" s="11"/>
    </row>
    <row r="22" spans="1:9" ht="15.75" customHeight="1">
      <c r="A22" s="15">
        <v>42031</v>
      </c>
      <c r="B22" s="148" t="s">
        <v>42</v>
      </c>
      <c r="C22" s="17" t="s">
        <v>419</v>
      </c>
      <c r="D22" s="145" t="s">
        <v>420</v>
      </c>
      <c r="E22" s="24" t="s">
        <v>26</v>
      </c>
      <c r="F22" s="19"/>
      <c r="G22" s="19">
        <v>1475903</v>
      </c>
      <c r="H22" s="20" t="s">
        <v>422</v>
      </c>
      <c r="I22" s="11"/>
    </row>
    <row r="23" spans="1:9" ht="15.75" customHeight="1">
      <c r="A23" s="15">
        <v>42031</v>
      </c>
      <c r="B23" s="162" t="s">
        <v>423</v>
      </c>
      <c r="C23" s="17" t="s">
        <v>424</v>
      </c>
      <c r="D23" s="145" t="s">
        <v>420</v>
      </c>
      <c r="E23" s="24" t="s">
        <v>26</v>
      </c>
      <c r="F23" s="19"/>
      <c r="G23" s="19">
        <v>1803881</v>
      </c>
      <c r="H23" s="20" t="s">
        <v>425</v>
      </c>
      <c r="I23" s="11"/>
    </row>
    <row r="24" spans="1:9" ht="15.75" customHeight="1">
      <c r="A24" s="15">
        <v>42031</v>
      </c>
      <c r="B24" s="148" t="s">
        <v>426</v>
      </c>
      <c r="C24" s="17" t="s">
        <v>419</v>
      </c>
      <c r="D24" s="145" t="s">
        <v>420</v>
      </c>
      <c r="E24" s="24" t="s">
        <v>26</v>
      </c>
      <c r="F24" s="19"/>
      <c r="G24" s="19">
        <v>2295849</v>
      </c>
      <c r="H24" s="36" t="s">
        <v>427</v>
      </c>
      <c r="I24" s="11"/>
    </row>
    <row r="25" spans="1:9" ht="15.75" customHeight="1">
      <c r="A25" s="163"/>
      <c r="B25" s="164" t="s">
        <v>361</v>
      </c>
      <c r="C25" s="165"/>
      <c r="D25" s="166"/>
      <c r="E25" s="167"/>
      <c r="F25" s="168"/>
      <c r="G25" s="168"/>
      <c r="H25" s="135"/>
      <c r="I25" s="11"/>
    </row>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1:E11"/>
    <mergeCell ref="F9:G9"/>
    <mergeCell ref="H9:H10"/>
    <mergeCell ref="A7:H7"/>
    <mergeCell ref="A8:H8"/>
    <mergeCell ref="A9:A10"/>
    <mergeCell ref="B9:B10"/>
    <mergeCell ref="C9:C10"/>
    <mergeCell ref="D9:D10"/>
    <mergeCell ref="E9:E10"/>
  </mergeCells>
  <pageMargins left="0" right="0" top="0.74803149606299213" bottom="0.74803149606299213"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1000"/>
  <sheetViews>
    <sheetView workbookViewId="0"/>
  </sheetViews>
  <sheetFormatPr defaultColWidth="14.42578125" defaultRowHeight="15" customHeight="1"/>
  <cols>
    <col min="1" max="1" width="41" customWidth="1"/>
    <col min="2" max="2" width="20.28515625" customWidth="1"/>
    <col min="3" max="3" width="14.140625" customWidth="1"/>
    <col min="4" max="4" width="13.28515625" customWidth="1"/>
    <col min="5" max="7" width="11.42578125" customWidth="1"/>
    <col min="8" max="8" width="16.140625" customWidth="1"/>
    <col min="9" max="12" width="9.140625" customWidth="1"/>
    <col min="13" max="26" width="10.7109375" customWidth="1"/>
  </cols>
  <sheetData>
    <row r="2" spans="1:12" ht="16.5">
      <c r="A2" s="979" t="s">
        <v>428</v>
      </c>
      <c r="B2" s="942"/>
      <c r="C2" s="942"/>
      <c r="D2" s="942"/>
      <c r="E2" s="169"/>
      <c r="F2" s="169"/>
      <c r="G2" s="169"/>
      <c r="H2" s="169"/>
      <c r="I2" s="169"/>
      <c r="J2" s="169"/>
      <c r="K2" s="169"/>
      <c r="L2" s="169"/>
    </row>
    <row r="3" spans="1:12" ht="16.5">
      <c r="A3" s="169"/>
      <c r="B3" s="169"/>
      <c r="C3" s="169"/>
      <c r="D3" s="169"/>
      <c r="E3" s="169"/>
      <c r="F3" s="169"/>
      <c r="G3" s="169"/>
      <c r="H3" s="169"/>
      <c r="I3" s="169"/>
      <c r="J3" s="169"/>
      <c r="K3" s="169"/>
      <c r="L3" s="169"/>
    </row>
    <row r="4" spans="1:12" ht="16.5">
      <c r="A4" s="978" t="s">
        <v>429</v>
      </c>
      <c r="B4" s="170" t="s">
        <v>430</v>
      </c>
      <c r="C4" s="170" t="s">
        <v>430</v>
      </c>
      <c r="D4" s="171"/>
      <c r="E4" s="169"/>
      <c r="F4" s="169"/>
      <c r="G4" s="169"/>
      <c r="H4" s="169"/>
      <c r="I4" s="169"/>
      <c r="J4" s="169"/>
      <c r="K4" s="169"/>
      <c r="L4" s="169"/>
    </row>
    <row r="5" spans="1:12" ht="18" customHeight="1">
      <c r="A5" s="970"/>
      <c r="B5" s="12" t="s">
        <v>431</v>
      </c>
      <c r="C5" s="12" t="s">
        <v>432</v>
      </c>
      <c r="D5" s="171"/>
      <c r="E5" s="169"/>
      <c r="F5" s="169"/>
      <c r="G5" s="169"/>
      <c r="H5" s="169"/>
      <c r="I5" s="169"/>
      <c r="J5" s="169"/>
      <c r="K5" s="169"/>
      <c r="L5" s="169"/>
    </row>
    <row r="6" spans="1:12" ht="18" customHeight="1">
      <c r="A6" s="20" t="s">
        <v>20</v>
      </c>
      <c r="B6" s="147">
        <f>'Visa XOF'!G24</f>
        <v>42480</v>
      </c>
      <c r="C6" s="172">
        <f t="shared" ref="C6:C7" si="0">B6/655.957</f>
        <v>64.760342522451936</v>
      </c>
      <c r="D6" s="80"/>
      <c r="E6" s="169"/>
      <c r="F6" s="169"/>
      <c r="G6" s="169"/>
      <c r="H6" s="169"/>
      <c r="I6" s="169"/>
      <c r="J6" s="169"/>
      <c r="K6" s="169"/>
      <c r="L6" s="169"/>
    </row>
    <row r="7" spans="1:12" ht="20.25" customHeight="1">
      <c r="A7" s="34" t="s">
        <v>433</v>
      </c>
      <c r="B7" s="147">
        <f>'Visa XOF'!H24</f>
        <v>1990990</v>
      </c>
      <c r="C7" s="172">
        <f t="shared" si="0"/>
        <v>3035.2446882951172</v>
      </c>
      <c r="D7" s="80"/>
      <c r="E7" s="169"/>
      <c r="F7" s="169"/>
      <c r="G7" s="169"/>
      <c r="H7" s="169"/>
      <c r="I7" s="169"/>
      <c r="J7" s="169"/>
      <c r="K7" s="169"/>
      <c r="L7" s="169"/>
    </row>
    <row r="8" spans="1:12" ht="20.25" customHeight="1">
      <c r="A8" s="173" t="s">
        <v>434</v>
      </c>
      <c r="B8" s="174">
        <f t="shared" ref="B8:C8" si="1">SUM(B6:B7)</f>
        <v>2033470</v>
      </c>
      <c r="C8" s="175">
        <f t="shared" si="1"/>
        <v>3100.0050308175691</v>
      </c>
      <c r="D8" s="171"/>
      <c r="E8" s="169"/>
      <c r="F8" s="169"/>
      <c r="G8" s="169"/>
      <c r="H8" s="169"/>
      <c r="I8" s="169"/>
      <c r="J8" s="169"/>
      <c r="K8" s="169"/>
      <c r="L8" s="169"/>
    </row>
    <row r="9" spans="1:12" ht="16.5">
      <c r="A9" s="169"/>
      <c r="B9" s="169"/>
      <c r="C9" s="169"/>
      <c r="D9" s="169"/>
      <c r="E9" s="169"/>
      <c r="F9" s="169"/>
      <c r="G9" s="169"/>
      <c r="H9" s="169"/>
      <c r="I9" s="169"/>
      <c r="J9" s="169"/>
      <c r="K9" s="169"/>
      <c r="L9" s="169"/>
    </row>
    <row r="10" spans="1:12" ht="16.5">
      <c r="A10" s="979" t="s">
        <v>435</v>
      </c>
      <c r="B10" s="942"/>
      <c r="C10" s="942"/>
      <c r="D10" s="942"/>
      <c r="E10" s="169"/>
      <c r="F10" s="169"/>
      <c r="G10" s="169"/>
      <c r="H10" s="169"/>
      <c r="I10" s="169"/>
      <c r="J10" s="169"/>
      <c r="K10" s="169"/>
      <c r="L10" s="169"/>
    </row>
    <row r="11" spans="1:12" ht="16.5">
      <c r="A11" s="169"/>
      <c r="B11" s="169"/>
      <c r="C11" s="169"/>
      <c r="D11" s="169"/>
      <c r="E11" s="169"/>
      <c r="F11" s="169"/>
      <c r="G11" s="169"/>
      <c r="H11" s="169"/>
      <c r="I11" s="169"/>
      <c r="J11" s="169"/>
      <c r="K11" s="169"/>
      <c r="L11" s="169"/>
    </row>
    <row r="12" spans="1:12" ht="16.5">
      <c r="A12" s="978" t="s">
        <v>429</v>
      </c>
      <c r="B12" s="170" t="s">
        <v>430</v>
      </c>
      <c r="C12" s="170" t="s">
        <v>430</v>
      </c>
      <c r="D12" s="171"/>
      <c r="E12" s="169"/>
      <c r="F12" s="169"/>
      <c r="G12" s="169"/>
      <c r="H12" s="169"/>
      <c r="I12" s="169"/>
      <c r="J12" s="169"/>
      <c r="K12" s="169"/>
      <c r="L12" s="169"/>
    </row>
    <row r="13" spans="1:12" ht="16.5">
      <c r="A13" s="970"/>
      <c r="B13" s="12" t="s">
        <v>431</v>
      </c>
      <c r="C13" s="12" t="s">
        <v>432</v>
      </c>
      <c r="D13" s="171"/>
      <c r="E13" s="169"/>
      <c r="F13" s="169"/>
      <c r="G13" s="169"/>
      <c r="H13" s="169"/>
      <c r="I13" s="169"/>
      <c r="J13" s="169"/>
      <c r="K13" s="169"/>
      <c r="L13" s="169"/>
    </row>
    <row r="14" spans="1:12" ht="16.5">
      <c r="A14" s="176" t="s">
        <v>34</v>
      </c>
      <c r="B14" s="172">
        <f t="shared" ref="B14:B18" si="2">230000</f>
        <v>230000</v>
      </c>
      <c r="C14" s="172">
        <f t="shared" ref="C14:C18" si="3">B14/655.957</f>
        <v>350.63273964604389</v>
      </c>
      <c r="D14" s="171"/>
      <c r="E14" s="169"/>
      <c r="F14" s="169"/>
      <c r="G14" s="169"/>
      <c r="H14" s="169"/>
      <c r="I14" s="169"/>
      <c r="J14" s="169"/>
      <c r="K14" s="169"/>
      <c r="L14" s="169"/>
    </row>
    <row r="15" spans="1:12" ht="16.5">
      <c r="A15" s="176" t="s">
        <v>34</v>
      </c>
      <c r="B15" s="172">
        <f t="shared" si="2"/>
        <v>230000</v>
      </c>
      <c r="C15" s="172">
        <f t="shared" si="3"/>
        <v>350.63273964604389</v>
      </c>
      <c r="D15" s="171"/>
      <c r="E15" s="169"/>
      <c r="F15" s="169"/>
      <c r="G15" s="169"/>
      <c r="H15" s="169"/>
      <c r="I15" s="169"/>
      <c r="J15" s="169"/>
      <c r="K15" s="169"/>
      <c r="L15" s="169"/>
    </row>
    <row r="16" spans="1:12" ht="16.5">
      <c r="A16" s="177" t="s">
        <v>41</v>
      </c>
      <c r="B16" s="172">
        <f t="shared" si="2"/>
        <v>230000</v>
      </c>
      <c r="C16" s="172">
        <f t="shared" si="3"/>
        <v>350.63273964604389</v>
      </c>
      <c r="D16" s="171"/>
      <c r="E16" s="169"/>
      <c r="F16" s="169"/>
      <c r="G16" s="169"/>
      <c r="H16" s="169"/>
      <c r="I16" s="169"/>
      <c r="J16" s="169"/>
      <c r="K16" s="169"/>
      <c r="L16" s="169"/>
    </row>
    <row r="17" spans="1:12" ht="16.5">
      <c r="A17" s="177" t="s">
        <v>45</v>
      </c>
      <c r="B17" s="172">
        <f t="shared" si="2"/>
        <v>230000</v>
      </c>
      <c r="C17" s="172">
        <f t="shared" si="3"/>
        <v>350.63273964604389</v>
      </c>
      <c r="D17" s="171"/>
      <c r="E17" s="169"/>
      <c r="F17" s="169"/>
      <c r="G17" s="169"/>
      <c r="H17" s="169"/>
      <c r="I17" s="169"/>
      <c r="J17" s="169"/>
      <c r="K17" s="169"/>
      <c r="L17" s="169"/>
    </row>
    <row r="18" spans="1:12" ht="16.5">
      <c r="A18" s="178" t="s">
        <v>91</v>
      </c>
      <c r="B18" s="179">
        <f t="shared" si="2"/>
        <v>230000</v>
      </c>
      <c r="C18" s="172">
        <f t="shared" si="3"/>
        <v>350.63273964604389</v>
      </c>
      <c r="D18" s="80"/>
      <c r="E18" s="169"/>
      <c r="F18" s="169"/>
      <c r="G18" s="169"/>
      <c r="H18" s="169"/>
      <c r="I18" s="169"/>
      <c r="J18" s="169"/>
      <c r="K18" s="169"/>
      <c r="L18" s="169"/>
    </row>
    <row r="19" spans="1:12" ht="16.5">
      <c r="A19" s="173" t="s">
        <v>434</v>
      </c>
      <c r="B19" s="180">
        <f t="shared" ref="B19:C19" si="4">SUM(B14:B18)</f>
        <v>1150000</v>
      </c>
      <c r="C19" s="175">
        <f t="shared" si="4"/>
        <v>1753.1636982302193</v>
      </c>
      <c r="D19" s="171"/>
      <c r="E19" s="169"/>
      <c r="F19" s="169"/>
      <c r="G19" s="169"/>
      <c r="H19" s="169"/>
      <c r="I19" s="169"/>
      <c r="J19" s="169"/>
      <c r="K19" s="169"/>
      <c r="L19" s="169"/>
    </row>
    <row r="20" spans="1:12" ht="16.5">
      <c r="A20" s="169"/>
      <c r="B20" s="169"/>
      <c r="C20" s="169"/>
      <c r="D20" s="169"/>
      <c r="E20" s="169"/>
      <c r="F20" s="169"/>
      <c r="G20" s="169"/>
      <c r="H20" s="169"/>
      <c r="I20" s="169"/>
      <c r="J20" s="169"/>
      <c r="K20" s="169"/>
      <c r="L20" s="169"/>
    </row>
    <row r="21" spans="1:12" ht="15.75" customHeight="1">
      <c r="A21" s="979" t="s">
        <v>436</v>
      </c>
      <c r="B21" s="942"/>
      <c r="C21" s="942"/>
      <c r="D21" s="942"/>
      <c r="E21" s="169"/>
      <c r="F21" s="169"/>
      <c r="G21" s="169"/>
      <c r="H21" s="169"/>
      <c r="I21" s="169"/>
      <c r="J21" s="169"/>
      <c r="K21" s="169"/>
      <c r="L21" s="169"/>
    </row>
    <row r="22" spans="1:12" ht="15.75" customHeight="1">
      <c r="A22" s="169"/>
      <c r="B22" s="169"/>
      <c r="C22" s="169"/>
      <c r="D22" s="169"/>
      <c r="E22" s="169"/>
      <c r="F22" s="169"/>
      <c r="G22" s="169"/>
      <c r="H22" s="169"/>
      <c r="I22" s="169"/>
      <c r="J22" s="169"/>
      <c r="K22" s="169"/>
      <c r="L22" s="169"/>
    </row>
    <row r="23" spans="1:12" ht="15.75" customHeight="1">
      <c r="A23" s="978" t="s">
        <v>429</v>
      </c>
      <c r="B23" s="170" t="s">
        <v>430</v>
      </c>
      <c r="C23" s="170" t="s">
        <v>430</v>
      </c>
      <c r="D23" s="171"/>
      <c r="E23" s="169"/>
      <c r="F23" s="169"/>
      <c r="G23" s="169"/>
      <c r="H23" s="169"/>
      <c r="I23" s="169"/>
      <c r="J23" s="169"/>
      <c r="K23" s="169"/>
      <c r="L23" s="169"/>
    </row>
    <row r="24" spans="1:12" ht="15.75" customHeight="1">
      <c r="A24" s="970"/>
      <c r="B24" s="12" t="s">
        <v>431</v>
      </c>
      <c r="C24" s="12" t="s">
        <v>432</v>
      </c>
      <c r="D24" s="171"/>
      <c r="E24" s="169"/>
      <c r="F24" s="169"/>
      <c r="G24" s="169"/>
      <c r="H24" s="169"/>
      <c r="I24" s="169"/>
      <c r="J24" s="169"/>
      <c r="K24" s="169"/>
      <c r="L24" s="169"/>
    </row>
    <row r="25" spans="1:12" ht="15.75" customHeight="1">
      <c r="A25" s="181" t="s">
        <v>437</v>
      </c>
      <c r="B25" s="172">
        <f>6373+288679</f>
        <v>295052</v>
      </c>
      <c r="C25" s="172">
        <f t="shared" ref="C25:C30" si="5">B25/655.957</f>
        <v>449.80387433932407</v>
      </c>
      <c r="D25" s="171"/>
      <c r="E25" s="169"/>
      <c r="F25" s="169"/>
      <c r="G25" s="169"/>
      <c r="H25" s="169"/>
      <c r="I25" s="169"/>
      <c r="J25" s="169"/>
      <c r="K25" s="169"/>
      <c r="L25" s="169"/>
    </row>
    <row r="26" spans="1:12" ht="15.75" customHeight="1">
      <c r="A26" s="181" t="s">
        <v>438</v>
      </c>
      <c r="B26" s="172">
        <f>5923+268294</f>
        <v>274217</v>
      </c>
      <c r="C26" s="172">
        <f t="shared" si="5"/>
        <v>418.04112159790964</v>
      </c>
      <c r="D26" s="171"/>
      <c r="E26" s="169"/>
      <c r="F26" s="169"/>
      <c r="G26" s="169"/>
      <c r="H26" s="169"/>
      <c r="I26" s="169"/>
      <c r="J26" s="169"/>
      <c r="K26" s="169"/>
      <c r="L26" s="169"/>
    </row>
    <row r="27" spans="1:12" ht="15.75" customHeight="1">
      <c r="A27" s="181" t="s">
        <v>81</v>
      </c>
      <c r="B27" s="172">
        <f>4452+201667</f>
        <v>206119</v>
      </c>
      <c r="C27" s="172">
        <f t="shared" si="5"/>
        <v>314.22638983957791</v>
      </c>
      <c r="D27" s="171"/>
      <c r="E27" s="169"/>
      <c r="F27" s="169"/>
      <c r="G27" s="169"/>
      <c r="H27" s="169"/>
      <c r="I27" s="169"/>
      <c r="J27" s="169"/>
      <c r="K27" s="169"/>
      <c r="L27" s="169"/>
    </row>
    <row r="28" spans="1:12" ht="15.75" customHeight="1">
      <c r="A28" s="182" t="s">
        <v>439</v>
      </c>
      <c r="B28" s="179">
        <f t="shared" ref="B28:B30" si="6">7500+339750</f>
        <v>347250</v>
      </c>
      <c r="C28" s="179">
        <f t="shared" si="5"/>
        <v>529.3792123569076</v>
      </c>
      <c r="D28" s="171"/>
      <c r="E28" s="169"/>
      <c r="F28" s="169"/>
      <c r="G28" s="169"/>
      <c r="H28" s="169"/>
      <c r="I28" s="169"/>
      <c r="J28" s="169"/>
      <c r="K28" s="169"/>
      <c r="L28" s="169"/>
    </row>
    <row r="29" spans="1:12" ht="15.75" customHeight="1">
      <c r="A29" s="181" t="s">
        <v>440</v>
      </c>
      <c r="B29" s="172">
        <f t="shared" si="6"/>
        <v>347250</v>
      </c>
      <c r="C29" s="172">
        <f t="shared" si="5"/>
        <v>529.3792123569076</v>
      </c>
      <c r="D29" s="171"/>
      <c r="E29" s="169"/>
      <c r="F29" s="169"/>
      <c r="G29" s="169"/>
      <c r="H29" s="169"/>
      <c r="I29" s="169"/>
      <c r="J29" s="169"/>
      <c r="K29" s="169"/>
      <c r="L29" s="169"/>
    </row>
    <row r="30" spans="1:12" ht="15.75" customHeight="1">
      <c r="A30" s="181" t="s">
        <v>77</v>
      </c>
      <c r="B30" s="172">
        <f t="shared" si="6"/>
        <v>347250</v>
      </c>
      <c r="C30" s="172">
        <f t="shared" si="5"/>
        <v>529.3792123569076</v>
      </c>
      <c r="D30" s="80"/>
      <c r="E30" s="169"/>
      <c r="F30" s="169"/>
      <c r="G30" s="169"/>
      <c r="H30" s="169"/>
      <c r="I30" s="169"/>
      <c r="J30" s="169"/>
      <c r="K30" s="169"/>
      <c r="L30" s="169"/>
    </row>
    <row r="31" spans="1:12" ht="15.75" customHeight="1">
      <c r="A31" s="173" t="s">
        <v>434</v>
      </c>
      <c r="B31" s="180">
        <f t="shared" ref="B31:C31" si="7">SUM(B25:B30)</f>
        <v>1817138</v>
      </c>
      <c r="C31" s="180">
        <f t="shared" si="7"/>
        <v>2770.2090228475345</v>
      </c>
      <c r="D31" s="171"/>
      <c r="E31" s="169"/>
      <c r="F31" s="169"/>
      <c r="G31" s="169"/>
      <c r="H31" s="169"/>
      <c r="I31" s="169"/>
      <c r="J31" s="169"/>
      <c r="K31" s="169"/>
      <c r="L31" s="169"/>
    </row>
    <row r="32" spans="1:12" ht="15.75" customHeight="1">
      <c r="A32" s="169"/>
      <c r="B32" s="169"/>
      <c r="C32" s="169"/>
      <c r="D32" s="169"/>
      <c r="E32" s="169"/>
      <c r="F32" s="169"/>
      <c r="G32" s="169"/>
      <c r="H32" s="169"/>
      <c r="I32" s="169"/>
      <c r="J32" s="169"/>
      <c r="K32" s="169"/>
      <c r="L32" s="169"/>
    </row>
    <row r="33" spans="1:12" ht="15.75" customHeight="1">
      <c r="A33" s="979" t="s">
        <v>441</v>
      </c>
      <c r="B33" s="942"/>
      <c r="C33" s="942"/>
      <c r="D33" s="942"/>
      <c r="E33" s="169"/>
      <c r="F33" s="169"/>
      <c r="G33" s="169"/>
      <c r="H33" s="169"/>
      <c r="I33" s="169"/>
      <c r="J33" s="169"/>
      <c r="K33" s="169"/>
      <c r="L33" s="169"/>
    </row>
    <row r="34" spans="1:12" ht="15.75" customHeight="1">
      <c r="A34" s="169"/>
      <c r="B34" s="169"/>
      <c r="C34" s="169"/>
      <c r="D34" s="169"/>
      <c r="E34" s="169"/>
      <c r="F34" s="169"/>
      <c r="G34" s="169"/>
      <c r="H34" s="169"/>
      <c r="I34" s="169"/>
      <c r="J34" s="169"/>
      <c r="K34" s="169"/>
      <c r="L34" s="169"/>
    </row>
    <row r="35" spans="1:12" ht="15.75" customHeight="1">
      <c r="A35" s="978" t="s">
        <v>429</v>
      </c>
      <c r="B35" s="170" t="s">
        <v>430</v>
      </c>
      <c r="C35" s="170" t="s">
        <v>430</v>
      </c>
      <c r="D35" s="171"/>
      <c r="E35" s="169"/>
      <c r="F35" s="169"/>
      <c r="G35" s="169"/>
      <c r="H35" s="169"/>
      <c r="I35" s="169"/>
      <c r="J35" s="169"/>
      <c r="K35" s="169"/>
      <c r="L35" s="169"/>
    </row>
    <row r="36" spans="1:12" ht="15.75" customHeight="1">
      <c r="A36" s="970"/>
      <c r="B36" s="12" t="s">
        <v>431</v>
      </c>
      <c r="C36" s="12" t="s">
        <v>432</v>
      </c>
      <c r="D36" s="171"/>
      <c r="E36" s="169"/>
      <c r="F36" s="169"/>
      <c r="G36" s="169"/>
      <c r="H36" s="169"/>
      <c r="I36" s="169"/>
      <c r="J36" s="169"/>
      <c r="K36" s="169"/>
      <c r="L36" s="169"/>
    </row>
    <row r="37" spans="1:12" ht="15.75" customHeight="1">
      <c r="A37" s="176" t="s">
        <v>34</v>
      </c>
      <c r="B37" s="172">
        <f t="shared" ref="B37:B41" si="8">230000</f>
        <v>230000</v>
      </c>
      <c r="C37" s="172">
        <f t="shared" ref="C37:C41" si="9">B37/655.957</f>
        <v>350.63273964604389</v>
      </c>
      <c r="D37" s="171"/>
      <c r="E37" s="169"/>
      <c r="F37" s="169"/>
      <c r="G37" s="169"/>
      <c r="H37" s="169"/>
      <c r="I37" s="169"/>
      <c r="J37" s="169"/>
      <c r="K37" s="169"/>
      <c r="L37" s="169"/>
    </row>
    <row r="38" spans="1:12" ht="15.75" customHeight="1">
      <c r="A38" s="176" t="s">
        <v>34</v>
      </c>
      <c r="B38" s="172">
        <f t="shared" si="8"/>
        <v>230000</v>
      </c>
      <c r="C38" s="172">
        <f t="shared" si="9"/>
        <v>350.63273964604389</v>
      </c>
      <c r="D38" s="171"/>
      <c r="E38" s="169"/>
      <c r="F38" s="169"/>
      <c r="G38" s="169"/>
      <c r="H38" s="169"/>
      <c r="I38" s="169"/>
      <c r="J38" s="169"/>
      <c r="K38" s="169"/>
      <c r="L38" s="169"/>
    </row>
    <row r="39" spans="1:12" ht="15.75" customHeight="1">
      <c r="A39" s="177" t="s">
        <v>41</v>
      </c>
      <c r="B39" s="172">
        <f t="shared" si="8"/>
        <v>230000</v>
      </c>
      <c r="C39" s="172">
        <f t="shared" si="9"/>
        <v>350.63273964604389</v>
      </c>
      <c r="D39" s="171"/>
      <c r="E39" s="169"/>
      <c r="F39" s="169"/>
      <c r="G39" s="169"/>
      <c r="H39" s="169"/>
      <c r="I39" s="169"/>
      <c r="J39" s="169"/>
      <c r="K39" s="169"/>
      <c r="L39" s="169"/>
    </row>
    <row r="40" spans="1:12" ht="15.75" customHeight="1">
      <c r="A40" s="177" t="s">
        <v>45</v>
      </c>
      <c r="B40" s="172">
        <f t="shared" si="8"/>
        <v>230000</v>
      </c>
      <c r="C40" s="172">
        <f t="shared" si="9"/>
        <v>350.63273964604389</v>
      </c>
      <c r="D40" s="171"/>
      <c r="E40" s="169"/>
      <c r="F40" s="169"/>
      <c r="G40" s="169"/>
      <c r="H40" s="169"/>
      <c r="I40" s="169"/>
      <c r="J40" s="169"/>
      <c r="K40" s="169"/>
      <c r="L40" s="169"/>
    </row>
    <row r="41" spans="1:12" ht="15.75" customHeight="1">
      <c r="A41" s="178" t="s">
        <v>91</v>
      </c>
      <c r="B41" s="179">
        <f t="shared" si="8"/>
        <v>230000</v>
      </c>
      <c r="C41" s="172">
        <f t="shared" si="9"/>
        <v>350.63273964604389</v>
      </c>
      <c r="D41" s="80"/>
      <c r="E41" s="169"/>
      <c r="F41" s="169"/>
      <c r="G41" s="169"/>
      <c r="H41" s="169"/>
      <c r="I41" s="169"/>
      <c r="J41" s="169"/>
      <c r="K41" s="169"/>
      <c r="L41" s="169"/>
    </row>
    <row r="42" spans="1:12" ht="15.75" customHeight="1">
      <c r="A42" s="173" t="s">
        <v>434</v>
      </c>
      <c r="B42" s="180">
        <f t="shared" ref="B42:C42" si="10">SUM(B37:B41)</f>
        <v>1150000</v>
      </c>
      <c r="C42" s="180">
        <f t="shared" si="10"/>
        <v>1753.1636982302193</v>
      </c>
      <c r="D42" s="171"/>
      <c r="E42" s="169"/>
      <c r="F42" s="169"/>
      <c r="G42" s="169"/>
      <c r="H42" s="169"/>
      <c r="I42" s="169"/>
      <c r="J42" s="169"/>
      <c r="K42" s="169"/>
      <c r="L42" s="169"/>
    </row>
    <row r="43" spans="1:12" ht="15.75" customHeight="1">
      <c r="A43" s="169"/>
      <c r="B43" s="169"/>
      <c r="C43" s="169"/>
      <c r="D43" s="169"/>
      <c r="E43" s="169"/>
      <c r="F43" s="169"/>
      <c r="G43" s="169"/>
      <c r="H43" s="169"/>
      <c r="I43" s="169"/>
      <c r="J43" s="169"/>
      <c r="K43" s="169"/>
      <c r="L43" s="169"/>
    </row>
    <row r="44" spans="1:12" ht="15.75" customHeight="1">
      <c r="A44" s="169"/>
      <c r="B44" s="169"/>
      <c r="C44" s="169"/>
      <c r="D44" s="169"/>
      <c r="E44" s="169"/>
      <c r="F44" s="169"/>
      <c r="G44" s="169"/>
      <c r="H44" s="169"/>
      <c r="I44" s="169"/>
      <c r="J44" s="169"/>
      <c r="K44" s="169"/>
      <c r="L44" s="169"/>
    </row>
    <row r="45" spans="1:12" ht="15.75" customHeight="1">
      <c r="A45" s="979" t="s">
        <v>442</v>
      </c>
      <c r="B45" s="942"/>
      <c r="C45" s="942"/>
      <c r="D45" s="942"/>
      <c r="E45" s="169"/>
      <c r="F45" s="169"/>
      <c r="G45" s="169"/>
      <c r="H45" s="169"/>
      <c r="I45" s="169"/>
      <c r="J45" s="169"/>
      <c r="K45" s="169"/>
      <c r="L45" s="169"/>
    </row>
    <row r="46" spans="1:12" ht="15.75" customHeight="1">
      <c r="A46" s="169"/>
      <c r="B46" s="169"/>
      <c r="C46" s="169"/>
      <c r="D46" s="169"/>
      <c r="E46" s="169"/>
      <c r="F46" s="169"/>
      <c r="G46" s="169"/>
      <c r="H46" s="169"/>
      <c r="I46" s="169"/>
      <c r="J46" s="169"/>
      <c r="K46" s="169"/>
      <c r="L46" s="169"/>
    </row>
    <row r="47" spans="1:12" ht="15.75" customHeight="1">
      <c r="A47" s="978" t="s">
        <v>429</v>
      </c>
      <c r="B47" s="170" t="s">
        <v>430</v>
      </c>
      <c r="C47" s="170" t="s">
        <v>430</v>
      </c>
      <c r="D47" s="171"/>
      <c r="E47" s="169"/>
      <c r="F47" s="169"/>
      <c r="G47" s="169"/>
      <c r="H47" s="169"/>
      <c r="I47" s="169"/>
      <c r="J47" s="169"/>
      <c r="K47" s="169"/>
      <c r="L47" s="169"/>
    </row>
    <row r="48" spans="1:12" ht="15.75" customHeight="1">
      <c r="A48" s="970"/>
      <c r="B48" s="12" t="s">
        <v>431</v>
      </c>
      <c r="C48" s="12" t="s">
        <v>432</v>
      </c>
      <c r="D48" s="171"/>
      <c r="E48" s="169"/>
      <c r="F48" s="169"/>
      <c r="G48" s="169"/>
      <c r="H48" s="169"/>
      <c r="I48" s="169"/>
      <c r="J48" s="169"/>
      <c r="K48" s="169"/>
      <c r="L48" s="169"/>
    </row>
    <row r="49" spans="1:12" ht="15.75" customHeight="1">
      <c r="A49" s="27" t="s">
        <v>443</v>
      </c>
      <c r="B49" s="172">
        <f t="shared" ref="B49:B50" si="11">230000</f>
        <v>230000</v>
      </c>
      <c r="C49" s="172">
        <f t="shared" ref="C49:C50" si="12">B49/655.957</f>
        <v>350.63273964604389</v>
      </c>
      <c r="D49" s="171"/>
      <c r="E49" s="169"/>
      <c r="F49" s="169"/>
      <c r="G49" s="169"/>
      <c r="H49" s="169"/>
      <c r="I49" s="169"/>
      <c r="J49" s="169"/>
      <c r="K49" s="169"/>
      <c r="L49" s="169"/>
    </row>
    <row r="50" spans="1:12" ht="15.75" customHeight="1">
      <c r="A50" s="27" t="s">
        <v>444</v>
      </c>
      <c r="B50" s="172">
        <f t="shared" si="11"/>
        <v>230000</v>
      </c>
      <c r="C50" s="172">
        <f t="shared" si="12"/>
        <v>350.63273964604389</v>
      </c>
      <c r="D50" s="171"/>
      <c r="E50" s="169"/>
      <c r="F50" s="169"/>
      <c r="G50" s="169"/>
      <c r="H50" s="169"/>
      <c r="I50" s="169"/>
      <c r="J50" s="169"/>
      <c r="K50" s="169"/>
      <c r="L50" s="169"/>
    </row>
    <row r="51" spans="1:12" ht="15.75" customHeight="1">
      <c r="A51" s="173" t="s">
        <v>434</v>
      </c>
      <c r="B51" s="180">
        <f t="shared" ref="B51:C51" si="13">SUM(B49:B50)</f>
        <v>460000</v>
      </c>
      <c r="C51" s="180">
        <f t="shared" si="13"/>
        <v>701.26547929208778</v>
      </c>
      <c r="D51" s="171"/>
      <c r="E51" s="169"/>
      <c r="F51" s="169"/>
      <c r="G51" s="169"/>
      <c r="H51" s="169"/>
      <c r="I51" s="169"/>
      <c r="J51" s="169"/>
      <c r="K51" s="169"/>
      <c r="L51" s="169"/>
    </row>
    <row r="52" spans="1:12" ht="15.75" customHeight="1">
      <c r="A52" s="169"/>
      <c r="B52" s="169"/>
      <c r="C52" s="169"/>
      <c r="D52" s="169"/>
      <c r="E52" s="169"/>
      <c r="F52" s="169"/>
      <c r="G52" s="169"/>
      <c r="H52" s="169"/>
      <c r="I52" s="169"/>
      <c r="J52" s="169"/>
      <c r="K52" s="169"/>
      <c r="L52" s="169"/>
    </row>
    <row r="53" spans="1:12" ht="15.75" customHeight="1">
      <c r="A53" s="979" t="s">
        <v>445</v>
      </c>
      <c r="B53" s="942"/>
      <c r="C53" s="942"/>
      <c r="D53" s="942"/>
      <c r="E53" s="169"/>
      <c r="F53" s="169"/>
      <c r="G53" s="169"/>
      <c r="H53" s="169"/>
      <c r="I53" s="169"/>
      <c r="J53" s="169"/>
      <c r="K53" s="169"/>
      <c r="L53" s="169"/>
    </row>
    <row r="54" spans="1:12" ht="15.75" customHeight="1">
      <c r="A54" s="169"/>
      <c r="B54" s="169"/>
      <c r="C54" s="169"/>
      <c r="D54" s="169"/>
      <c r="E54" s="169"/>
      <c r="F54" s="169"/>
      <c r="G54" s="169"/>
      <c r="H54" s="169"/>
      <c r="I54" s="169"/>
      <c r="J54" s="169"/>
      <c r="K54" s="169"/>
      <c r="L54" s="169"/>
    </row>
    <row r="55" spans="1:12" ht="15.75" customHeight="1">
      <c r="A55" s="978" t="s">
        <v>429</v>
      </c>
      <c r="B55" s="170" t="s">
        <v>430</v>
      </c>
      <c r="C55" s="170" t="s">
        <v>430</v>
      </c>
      <c r="D55" s="171"/>
      <c r="E55" s="169"/>
      <c r="F55" s="169"/>
      <c r="G55" s="169"/>
      <c r="H55" s="169"/>
      <c r="I55" s="169"/>
      <c r="J55" s="169"/>
      <c r="K55" s="169"/>
      <c r="L55" s="169"/>
    </row>
    <row r="56" spans="1:12" ht="15.75" customHeight="1">
      <c r="A56" s="970"/>
      <c r="B56" s="12" t="s">
        <v>431</v>
      </c>
      <c r="C56" s="12" t="s">
        <v>432</v>
      </c>
      <c r="D56" s="171"/>
      <c r="E56" s="169"/>
      <c r="F56" s="169"/>
      <c r="G56" s="169"/>
      <c r="H56" s="169"/>
      <c r="I56" s="169"/>
      <c r="J56" s="169"/>
      <c r="K56" s="169"/>
      <c r="L56" s="169"/>
    </row>
    <row r="57" spans="1:12" ht="15.75" customHeight="1">
      <c r="A57" s="176" t="s">
        <v>34</v>
      </c>
      <c r="B57" s="172">
        <f t="shared" ref="B57:B63" si="14">230000</f>
        <v>230000</v>
      </c>
      <c r="C57" s="172">
        <f t="shared" ref="C57:C63" si="15">B57/655.957</f>
        <v>350.63273964604389</v>
      </c>
      <c r="D57" s="171"/>
      <c r="E57" s="169"/>
      <c r="F57" s="169"/>
      <c r="G57" s="169"/>
      <c r="H57" s="169"/>
      <c r="I57" s="169"/>
      <c r="J57" s="169"/>
      <c r="K57" s="169"/>
      <c r="L57" s="169"/>
    </row>
    <row r="58" spans="1:12" ht="15.75" customHeight="1">
      <c r="A58" s="176" t="s">
        <v>34</v>
      </c>
      <c r="B58" s="172">
        <f t="shared" si="14"/>
        <v>230000</v>
      </c>
      <c r="C58" s="172">
        <f t="shared" si="15"/>
        <v>350.63273964604389</v>
      </c>
      <c r="D58" s="171"/>
      <c r="E58" s="169"/>
      <c r="F58" s="169"/>
      <c r="G58" s="169"/>
      <c r="H58" s="169"/>
      <c r="I58" s="169"/>
      <c r="J58" s="169"/>
      <c r="K58" s="169"/>
      <c r="L58" s="169"/>
    </row>
    <row r="59" spans="1:12" ht="15.75" customHeight="1">
      <c r="A59" s="177" t="s">
        <v>41</v>
      </c>
      <c r="B59" s="172">
        <f t="shared" si="14"/>
        <v>230000</v>
      </c>
      <c r="C59" s="172">
        <f t="shared" si="15"/>
        <v>350.63273964604389</v>
      </c>
      <c r="D59" s="171"/>
      <c r="E59" s="169"/>
      <c r="F59" s="169"/>
      <c r="G59" s="169"/>
      <c r="H59" s="169"/>
      <c r="I59" s="169"/>
      <c r="J59" s="169"/>
      <c r="K59" s="169"/>
      <c r="L59" s="169"/>
    </row>
    <row r="60" spans="1:12" ht="15.75" customHeight="1">
      <c r="A60" s="177" t="s">
        <v>45</v>
      </c>
      <c r="B60" s="172">
        <f t="shared" si="14"/>
        <v>230000</v>
      </c>
      <c r="C60" s="172">
        <f t="shared" si="15"/>
        <v>350.63273964604389</v>
      </c>
      <c r="D60" s="171"/>
      <c r="E60" s="169"/>
      <c r="F60" s="169"/>
      <c r="G60" s="169"/>
      <c r="H60" s="169"/>
      <c r="I60" s="169"/>
      <c r="J60" s="169"/>
      <c r="K60" s="169"/>
      <c r="L60" s="169"/>
    </row>
    <row r="61" spans="1:12" ht="15.75" customHeight="1">
      <c r="A61" s="178" t="s">
        <v>91</v>
      </c>
      <c r="B61" s="179">
        <f t="shared" si="14"/>
        <v>230000</v>
      </c>
      <c r="C61" s="172">
        <f t="shared" si="15"/>
        <v>350.63273964604389</v>
      </c>
      <c r="D61" s="80"/>
      <c r="E61" s="169"/>
      <c r="F61" s="169"/>
      <c r="G61" s="169"/>
      <c r="H61" s="169"/>
      <c r="I61" s="169"/>
      <c r="J61" s="169"/>
      <c r="K61" s="169"/>
      <c r="L61" s="169"/>
    </row>
    <row r="62" spans="1:12" ht="24" customHeight="1">
      <c r="A62" s="27" t="s">
        <v>443</v>
      </c>
      <c r="B62" s="179">
        <f t="shared" si="14"/>
        <v>230000</v>
      </c>
      <c r="C62" s="172">
        <f t="shared" si="15"/>
        <v>350.63273964604389</v>
      </c>
      <c r="D62" s="80"/>
      <c r="E62" s="169"/>
      <c r="F62" s="169"/>
      <c r="G62" s="169"/>
      <c r="H62" s="169"/>
      <c r="I62" s="169"/>
      <c r="J62" s="169"/>
      <c r="K62" s="169"/>
      <c r="L62" s="169"/>
    </row>
    <row r="63" spans="1:12" ht="15.75" customHeight="1">
      <c r="A63" s="27" t="s">
        <v>444</v>
      </c>
      <c r="B63" s="179">
        <f t="shared" si="14"/>
        <v>230000</v>
      </c>
      <c r="C63" s="172">
        <f t="shared" si="15"/>
        <v>350.63273964604389</v>
      </c>
      <c r="D63" s="80"/>
      <c r="E63" s="169"/>
      <c r="F63" s="169"/>
      <c r="G63" s="169"/>
      <c r="H63" s="169"/>
      <c r="I63" s="169"/>
      <c r="J63" s="169"/>
      <c r="K63" s="169"/>
      <c r="L63" s="169"/>
    </row>
    <row r="64" spans="1:12" ht="15.75" customHeight="1">
      <c r="A64" s="173" t="s">
        <v>434</v>
      </c>
      <c r="B64" s="180">
        <f t="shared" ref="B64:C64" si="16">SUM(B57:B63)</f>
        <v>1610000</v>
      </c>
      <c r="C64" s="180">
        <f t="shared" si="16"/>
        <v>2454.4291775223069</v>
      </c>
      <c r="D64" s="171"/>
      <c r="E64" s="169"/>
      <c r="F64" s="169"/>
      <c r="G64" s="169"/>
      <c r="H64" s="169"/>
      <c r="I64" s="169"/>
      <c r="J64" s="169"/>
      <c r="K64" s="169"/>
      <c r="L64" s="169"/>
    </row>
    <row r="65" spans="1:12" ht="15.75" customHeight="1">
      <c r="A65" s="169"/>
      <c r="B65" s="169"/>
      <c r="C65" s="169"/>
      <c r="D65" s="169"/>
      <c r="E65" s="169"/>
      <c r="F65" s="169"/>
      <c r="G65" s="169"/>
      <c r="H65" s="169"/>
      <c r="I65" s="169"/>
      <c r="J65" s="169"/>
      <c r="K65" s="169"/>
      <c r="L65" s="169"/>
    </row>
    <row r="66" spans="1:12" ht="15.75" customHeight="1">
      <c r="A66" s="169"/>
      <c r="B66" s="169"/>
      <c r="C66" s="169"/>
      <c r="D66" s="169"/>
      <c r="E66" s="169"/>
      <c r="F66" s="169"/>
      <c r="G66" s="169"/>
      <c r="H66" s="169"/>
      <c r="I66" s="169"/>
      <c r="J66" s="169"/>
      <c r="K66" s="169"/>
      <c r="L66" s="169"/>
    </row>
    <row r="67" spans="1:12" ht="15.75" customHeight="1">
      <c r="A67" s="979" t="s">
        <v>446</v>
      </c>
      <c r="B67" s="942"/>
      <c r="C67" s="942"/>
      <c r="D67" s="942"/>
      <c r="E67" s="169"/>
      <c r="F67" s="169"/>
      <c r="G67" s="169"/>
      <c r="H67" s="169"/>
      <c r="I67" s="169"/>
      <c r="J67" s="169"/>
      <c r="K67" s="169"/>
      <c r="L67" s="169"/>
    </row>
    <row r="68" spans="1:12" ht="15.75" customHeight="1">
      <c r="A68" s="169"/>
      <c r="B68" s="169"/>
      <c r="C68" s="169"/>
      <c r="D68" s="169"/>
      <c r="E68" s="169"/>
      <c r="F68" s="169"/>
      <c r="G68" s="169"/>
      <c r="H68" s="169"/>
      <c r="I68" s="169"/>
      <c r="J68" s="169"/>
      <c r="K68" s="169"/>
      <c r="L68" s="169"/>
    </row>
    <row r="69" spans="1:12" ht="15.75" customHeight="1">
      <c r="A69" s="978" t="s">
        <v>429</v>
      </c>
      <c r="B69" s="170" t="s">
        <v>430</v>
      </c>
      <c r="C69" s="170" t="s">
        <v>430</v>
      </c>
      <c r="D69" s="171"/>
      <c r="E69" s="169"/>
      <c r="F69" s="169"/>
      <c r="G69" s="169"/>
      <c r="H69" s="169"/>
      <c r="I69" s="169"/>
      <c r="J69" s="169"/>
      <c r="K69" s="169"/>
      <c r="L69" s="169"/>
    </row>
    <row r="70" spans="1:12" ht="15.75" customHeight="1">
      <c r="A70" s="970"/>
      <c r="B70" s="12" t="s">
        <v>431</v>
      </c>
      <c r="C70" s="12" t="s">
        <v>432</v>
      </c>
      <c r="D70" s="171"/>
      <c r="E70" s="169"/>
      <c r="F70" s="169"/>
      <c r="G70" s="169"/>
      <c r="H70" s="169"/>
      <c r="I70" s="169"/>
      <c r="J70" s="169"/>
      <c r="K70" s="169"/>
      <c r="L70" s="169"/>
    </row>
    <row r="71" spans="1:12" ht="15.75" customHeight="1">
      <c r="A71" s="183" t="s">
        <v>447</v>
      </c>
      <c r="B71" s="172">
        <f>495903</f>
        <v>495903</v>
      </c>
      <c r="C71" s="172">
        <f t="shared" ref="C71:C72" si="17">B71/655.957</f>
        <v>755.99924995083518</v>
      </c>
      <c r="D71" s="171"/>
      <c r="E71" s="169"/>
      <c r="F71" s="169"/>
      <c r="G71" s="169"/>
      <c r="H71" s="84">
        <f t="shared" ref="H71:H73" si="18">1983614</f>
        <v>1983614</v>
      </c>
      <c r="I71" s="169"/>
      <c r="J71" s="169"/>
      <c r="K71" s="169"/>
      <c r="L71" s="169"/>
    </row>
    <row r="72" spans="1:12" ht="15.75" customHeight="1">
      <c r="A72" s="183" t="s">
        <v>100</v>
      </c>
      <c r="B72" s="172">
        <f>(949510-495903)</f>
        <v>453607</v>
      </c>
      <c r="C72" s="172">
        <f t="shared" si="17"/>
        <v>691.51941362010007</v>
      </c>
      <c r="D72" s="171"/>
      <c r="E72" s="169"/>
      <c r="F72" s="169"/>
      <c r="G72" s="169"/>
      <c r="H72" s="84">
        <f t="shared" si="18"/>
        <v>1983614</v>
      </c>
      <c r="I72" s="169"/>
      <c r="J72" s="169"/>
      <c r="K72" s="169"/>
      <c r="L72" s="169"/>
    </row>
    <row r="73" spans="1:12" ht="15.75" customHeight="1">
      <c r="A73" s="173" t="s">
        <v>434</v>
      </c>
      <c r="B73" s="180">
        <f t="shared" ref="B73:C73" si="19">SUM(B71:B72)</f>
        <v>949510</v>
      </c>
      <c r="C73" s="180">
        <f t="shared" si="19"/>
        <v>1447.5186635709351</v>
      </c>
      <c r="D73" s="171"/>
      <c r="H73" s="84">
        <f t="shared" si="18"/>
        <v>1983614</v>
      </c>
    </row>
    <row r="74" spans="1:12" ht="15.75" customHeight="1">
      <c r="H74" s="184">
        <f>SUM(H71:H73)</f>
        <v>5950842</v>
      </c>
    </row>
    <row r="75" spans="1:12" ht="15.75" customHeight="1">
      <c r="A75" s="979" t="s">
        <v>448</v>
      </c>
      <c r="B75" s="942"/>
      <c r="C75" s="942"/>
      <c r="D75" s="942"/>
      <c r="H75" s="185">
        <f>H74/655.957</f>
        <v>9072.0001463510562</v>
      </c>
    </row>
    <row r="76" spans="1:12" ht="15.75" customHeight="1">
      <c r="A76" s="169"/>
      <c r="B76" s="169"/>
      <c r="C76" s="169"/>
      <c r="D76" s="169"/>
      <c r="H76" s="185">
        <f>C71+C79</f>
        <v>1511.9984999016704</v>
      </c>
    </row>
    <row r="77" spans="1:12" ht="15.75" customHeight="1">
      <c r="A77" s="978" t="s">
        <v>429</v>
      </c>
      <c r="B77" s="170" t="s">
        <v>430</v>
      </c>
      <c r="C77" s="170" t="s">
        <v>430</v>
      </c>
      <c r="D77" s="171"/>
      <c r="H77" s="185">
        <f>H75+H76</f>
        <v>10583.998646252727</v>
      </c>
    </row>
    <row r="78" spans="1:12" ht="15.75" customHeight="1">
      <c r="A78" s="970"/>
      <c r="B78" s="12" t="s">
        <v>431</v>
      </c>
      <c r="C78" s="12" t="s">
        <v>432</v>
      </c>
      <c r="D78" s="171"/>
    </row>
    <row r="79" spans="1:12" ht="15.75" customHeight="1">
      <c r="A79" s="183" t="s">
        <v>447</v>
      </c>
      <c r="B79" s="172">
        <f>495903</f>
        <v>495903</v>
      </c>
      <c r="C79" s="172">
        <f t="shared" ref="C79:C80" si="20">B79/655.957</f>
        <v>755.99924995083518</v>
      </c>
      <c r="D79" s="171"/>
    </row>
    <row r="80" spans="1:12" ht="15.75" customHeight="1">
      <c r="A80" s="183" t="s">
        <v>100</v>
      </c>
      <c r="B80" s="172">
        <f>(687332-495903)</f>
        <v>191429</v>
      </c>
      <c r="C80" s="172">
        <f t="shared" si="20"/>
        <v>291.83162920740233</v>
      </c>
      <c r="D80" s="171"/>
    </row>
    <row r="81" spans="1:4" ht="15.75" customHeight="1">
      <c r="A81" s="173" t="s">
        <v>434</v>
      </c>
      <c r="B81" s="180">
        <f t="shared" ref="B81:C81" si="21">SUM(B79:B80)</f>
        <v>687332</v>
      </c>
      <c r="C81" s="180">
        <f t="shared" si="21"/>
        <v>1047.8308791582376</v>
      </c>
      <c r="D81" s="171"/>
    </row>
    <row r="82" spans="1:4" ht="15.75" customHeight="1"/>
    <row r="83" spans="1:4" ht="15.75" customHeight="1"/>
    <row r="84" spans="1:4" ht="15.75" customHeight="1"/>
    <row r="85" spans="1:4" ht="15.75" customHeight="1"/>
    <row r="86" spans="1:4" ht="15.7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2:D2"/>
    <mergeCell ref="A4:A5"/>
    <mergeCell ref="A10:D10"/>
    <mergeCell ref="A12:A13"/>
    <mergeCell ref="A21:D21"/>
    <mergeCell ref="A23:A24"/>
    <mergeCell ref="A33:D33"/>
    <mergeCell ref="A69:A70"/>
    <mergeCell ref="A77:A78"/>
    <mergeCell ref="A35:A36"/>
    <mergeCell ref="A45:D45"/>
    <mergeCell ref="A47:A48"/>
    <mergeCell ref="A53:D53"/>
    <mergeCell ref="A55:A56"/>
    <mergeCell ref="A67:D67"/>
    <mergeCell ref="A75:D75"/>
  </mergeCells>
  <pageMargins left="0.11811023622047245" right="0.11811023622047245" top="0.74803149606299213" bottom="0.74803149606299213"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000"/>
  <sheetViews>
    <sheetView workbookViewId="0"/>
  </sheetViews>
  <sheetFormatPr defaultColWidth="14.42578125" defaultRowHeight="15" customHeight="1"/>
  <cols>
    <col min="1" max="1" width="11.28515625" customWidth="1"/>
    <col min="2" max="2" width="41.140625" customWidth="1"/>
    <col min="3" max="14" width="4.7109375" customWidth="1"/>
    <col min="15" max="22" width="5.7109375" hidden="1" customWidth="1"/>
    <col min="23" max="23" width="15" customWidth="1"/>
    <col min="24" max="24" width="18" customWidth="1"/>
    <col min="25" max="25" width="19.7109375" customWidth="1"/>
    <col min="26" max="26" width="12" hidden="1" customWidth="1"/>
    <col min="27" max="27" width="10.7109375" hidden="1" customWidth="1"/>
    <col min="28" max="28" width="14.140625" hidden="1" customWidth="1"/>
    <col min="29" max="30" width="10.7109375" hidden="1" customWidth="1"/>
    <col min="31" max="31" width="9.140625" customWidth="1"/>
  </cols>
  <sheetData>
    <row r="1" spans="1:31" ht="60">
      <c r="A1" s="186"/>
      <c r="B1" s="186"/>
      <c r="C1" s="187"/>
      <c r="D1" s="187"/>
      <c r="E1" s="187"/>
      <c r="F1" s="187"/>
      <c r="G1" s="187"/>
      <c r="H1" s="187"/>
      <c r="I1" s="187"/>
      <c r="J1" s="187"/>
      <c r="K1" s="187"/>
      <c r="L1" s="187"/>
      <c r="M1" s="187"/>
      <c r="N1" s="187"/>
      <c r="O1" s="187" t="s">
        <v>449</v>
      </c>
      <c r="P1" s="187"/>
      <c r="Q1" s="187"/>
      <c r="R1" s="187"/>
      <c r="S1" s="187"/>
      <c r="T1" s="187"/>
      <c r="U1" s="187"/>
      <c r="V1" s="187"/>
      <c r="W1" s="186"/>
      <c r="X1" s="187"/>
      <c r="Y1" s="187"/>
      <c r="Z1" s="188" t="s">
        <v>450</v>
      </c>
      <c r="AA1" s="189" t="s">
        <v>451</v>
      </c>
    </row>
    <row r="2" spans="1:31">
      <c r="A2" s="190"/>
      <c r="B2" s="190"/>
      <c r="C2" s="996" t="s">
        <v>452</v>
      </c>
      <c r="D2" s="935"/>
      <c r="E2" s="935"/>
      <c r="F2" s="935"/>
      <c r="G2" s="935"/>
      <c r="H2" s="935"/>
      <c r="I2" s="935"/>
      <c r="J2" s="935"/>
      <c r="K2" s="935"/>
      <c r="L2" s="935"/>
      <c r="M2" s="935"/>
      <c r="N2" s="935"/>
      <c r="O2" s="935"/>
      <c r="P2" s="935"/>
      <c r="Q2" s="935"/>
      <c r="R2" s="935"/>
      <c r="S2" s="935"/>
      <c r="T2" s="935"/>
      <c r="U2" s="935"/>
      <c r="V2" s="935"/>
      <c r="W2" s="935"/>
      <c r="X2" s="958"/>
      <c r="Y2" s="191" t="s">
        <v>453</v>
      </c>
      <c r="Z2" s="192"/>
      <c r="AA2" s="192"/>
      <c r="AE2" s="193" t="s">
        <v>454</v>
      </c>
    </row>
    <row r="3" spans="1:31" ht="36" customHeight="1">
      <c r="A3" s="190"/>
      <c r="B3" s="190"/>
      <c r="C3" s="997" t="s">
        <v>455</v>
      </c>
      <c r="D3" s="935"/>
      <c r="E3" s="935"/>
      <c r="F3" s="935"/>
      <c r="G3" s="935"/>
      <c r="H3" s="935"/>
      <c r="I3" s="935"/>
      <c r="J3" s="935"/>
      <c r="K3" s="935"/>
      <c r="L3" s="935"/>
      <c r="M3" s="935"/>
      <c r="N3" s="958"/>
      <c r="O3" s="998" t="s">
        <v>456</v>
      </c>
      <c r="P3" s="958"/>
      <c r="Q3" s="998" t="s">
        <v>457</v>
      </c>
      <c r="R3" s="958"/>
      <c r="S3" s="998" t="s">
        <v>458</v>
      </c>
      <c r="T3" s="958"/>
      <c r="U3" s="998" t="s">
        <v>459</v>
      </c>
      <c r="V3" s="958"/>
      <c r="W3" s="190"/>
      <c r="X3" s="194"/>
      <c r="Y3" s="195"/>
      <c r="Z3" s="988" t="s">
        <v>460</v>
      </c>
      <c r="AA3" s="942"/>
      <c r="AB3" s="187" t="s">
        <v>461</v>
      </c>
      <c r="AE3" s="196"/>
    </row>
    <row r="4" spans="1:31">
      <c r="A4" s="983"/>
      <c r="B4" s="984" t="s">
        <v>462</v>
      </c>
      <c r="C4" s="197" t="s">
        <v>463</v>
      </c>
      <c r="D4" s="197" t="s">
        <v>463</v>
      </c>
      <c r="E4" s="197" t="s">
        <v>463</v>
      </c>
      <c r="F4" s="197" t="s">
        <v>463</v>
      </c>
      <c r="G4" s="197" t="s">
        <v>463</v>
      </c>
      <c r="H4" s="197" t="s">
        <v>463</v>
      </c>
      <c r="I4" s="197" t="s">
        <v>463</v>
      </c>
      <c r="J4" s="197" t="s">
        <v>463</v>
      </c>
      <c r="K4" s="197" t="s">
        <v>463</v>
      </c>
      <c r="L4" s="197" t="s">
        <v>463</v>
      </c>
      <c r="M4" s="197" t="s">
        <v>463</v>
      </c>
      <c r="N4" s="197" t="s">
        <v>463</v>
      </c>
      <c r="O4" s="197" t="s">
        <v>464</v>
      </c>
      <c r="P4" s="197" t="s">
        <v>464</v>
      </c>
      <c r="Q4" s="197" t="s">
        <v>464</v>
      </c>
      <c r="R4" s="197" t="s">
        <v>464</v>
      </c>
      <c r="S4" s="197" t="s">
        <v>464</v>
      </c>
      <c r="T4" s="197" t="s">
        <v>464</v>
      </c>
      <c r="U4" s="197" t="s">
        <v>464</v>
      </c>
      <c r="V4" s="197" t="s">
        <v>464</v>
      </c>
      <c r="W4" s="984" t="s">
        <v>465</v>
      </c>
      <c r="X4" s="993" t="s">
        <v>466</v>
      </c>
      <c r="Y4" s="995"/>
      <c r="Z4" s="198"/>
      <c r="AA4" s="199"/>
      <c r="AE4" s="196"/>
    </row>
    <row r="5" spans="1:31">
      <c r="A5" s="970"/>
      <c r="B5" s="970"/>
      <c r="C5" s="200">
        <v>1</v>
      </c>
      <c r="D5" s="200">
        <v>2</v>
      </c>
      <c r="E5" s="200">
        <v>3</v>
      </c>
      <c r="F5" s="200">
        <v>4</v>
      </c>
      <c r="G5" s="200">
        <v>5</v>
      </c>
      <c r="H5" s="200">
        <v>6</v>
      </c>
      <c r="I5" s="200">
        <v>7</v>
      </c>
      <c r="J5" s="200">
        <v>8</v>
      </c>
      <c r="K5" s="200">
        <v>9</v>
      </c>
      <c r="L5" s="200">
        <v>10</v>
      </c>
      <c r="M5" s="200">
        <v>11</v>
      </c>
      <c r="N5" s="200">
        <v>12</v>
      </c>
      <c r="O5" s="200" t="s">
        <v>467</v>
      </c>
      <c r="P5" s="200" t="s">
        <v>468</v>
      </c>
      <c r="Q5" s="200" t="s">
        <v>467</v>
      </c>
      <c r="R5" s="200" t="s">
        <v>468</v>
      </c>
      <c r="S5" s="200" t="s">
        <v>467</v>
      </c>
      <c r="T5" s="200" t="s">
        <v>468</v>
      </c>
      <c r="U5" s="200" t="s">
        <v>467</v>
      </c>
      <c r="V5" s="200" t="s">
        <v>468</v>
      </c>
      <c r="W5" s="970"/>
      <c r="X5" s="994"/>
      <c r="Y5" s="970"/>
      <c r="Z5" s="198"/>
      <c r="AA5" s="199"/>
      <c r="AE5" s="196"/>
    </row>
    <row r="6" spans="1:31">
      <c r="A6" s="985" t="s">
        <v>469</v>
      </c>
      <c r="B6" s="958"/>
      <c r="C6" s="201"/>
      <c r="D6" s="201"/>
      <c r="E6" s="201"/>
      <c r="F6" s="201"/>
      <c r="G6" s="201"/>
      <c r="H6" s="201"/>
      <c r="I6" s="201"/>
      <c r="J6" s="201"/>
      <c r="K6" s="201"/>
      <c r="L6" s="201"/>
      <c r="M6" s="201"/>
      <c r="N6" s="201"/>
      <c r="O6" s="201"/>
      <c r="P6" s="201"/>
      <c r="Q6" s="201"/>
      <c r="R6" s="201"/>
      <c r="S6" s="201"/>
      <c r="T6" s="201"/>
      <c r="U6" s="201"/>
      <c r="V6" s="201"/>
      <c r="W6" s="190"/>
      <c r="X6" s="194"/>
      <c r="Y6" s="202"/>
      <c r="Z6" s="198"/>
      <c r="AA6" s="199"/>
      <c r="AE6" s="196"/>
    </row>
    <row r="7" spans="1:31" ht="36.75" customHeight="1">
      <c r="A7" s="203" t="s">
        <v>470</v>
      </c>
      <c r="B7" s="204" t="s">
        <v>471</v>
      </c>
      <c r="C7" s="205"/>
      <c r="D7" s="205"/>
      <c r="E7" s="205"/>
      <c r="F7" s="206"/>
      <c r="G7" s="206"/>
      <c r="H7" s="206"/>
      <c r="I7" s="206"/>
      <c r="J7" s="206"/>
      <c r="K7" s="206"/>
      <c r="L7" s="206"/>
      <c r="M7" s="206"/>
      <c r="N7" s="206"/>
      <c r="O7" s="195"/>
      <c r="P7" s="195"/>
      <c r="Q7" s="195"/>
      <c r="R7" s="195"/>
      <c r="S7" s="195"/>
      <c r="T7" s="195"/>
      <c r="U7" s="195"/>
      <c r="V7" s="195"/>
      <c r="W7" s="190" t="s">
        <v>472</v>
      </c>
      <c r="X7" s="194" t="s">
        <v>473</v>
      </c>
      <c r="Y7" s="202"/>
      <c r="Z7" s="198"/>
      <c r="AA7" s="199"/>
      <c r="AE7" s="196"/>
    </row>
    <row r="8" spans="1:31" ht="55.5" customHeight="1">
      <c r="A8" s="207" t="s">
        <v>474</v>
      </c>
      <c r="B8" s="190" t="s">
        <v>475</v>
      </c>
      <c r="C8" s="208"/>
      <c r="D8" s="209"/>
      <c r="E8" s="209"/>
      <c r="F8" s="209"/>
      <c r="G8" s="209"/>
      <c r="H8" s="209"/>
      <c r="I8" s="209"/>
      <c r="J8" s="209"/>
      <c r="K8" s="209"/>
      <c r="L8" s="209"/>
      <c r="M8" s="209"/>
      <c r="N8" s="209"/>
      <c r="O8" s="208"/>
      <c r="P8" s="208"/>
      <c r="Q8" s="208"/>
      <c r="R8" s="208"/>
      <c r="S8" s="208"/>
      <c r="T8" s="208"/>
      <c r="U8" s="208"/>
      <c r="V8" s="208"/>
      <c r="W8" s="210" t="s">
        <v>476</v>
      </c>
      <c r="X8" s="211" t="s">
        <v>477</v>
      </c>
      <c r="Y8" s="202"/>
      <c r="Z8" s="198"/>
      <c r="AA8" s="199"/>
      <c r="AE8" s="196"/>
    </row>
    <row r="9" spans="1:31" ht="40.5" customHeight="1">
      <c r="A9" s="207" t="s">
        <v>478</v>
      </c>
      <c r="B9" s="190" t="s">
        <v>479</v>
      </c>
      <c r="C9" s="208"/>
      <c r="D9" s="208"/>
      <c r="E9" s="208"/>
      <c r="F9" s="209"/>
      <c r="G9" s="209"/>
      <c r="H9" s="209"/>
      <c r="I9" s="209"/>
      <c r="J9" s="209"/>
      <c r="K9" s="209"/>
      <c r="L9" s="209"/>
      <c r="M9" s="208"/>
      <c r="N9" s="208"/>
      <c r="O9" s="208"/>
      <c r="P9" s="208"/>
      <c r="Q9" s="208"/>
      <c r="R9" s="208"/>
      <c r="S9" s="208"/>
      <c r="T9" s="208"/>
      <c r="U9" s="208"/>
      <c r="V9" s="208"/>
      <c r="W9" s="210" t="s">
        <v>480</v>
      </c>
      <c r="X9" s="212"/>
      <c r="Y9" s="213"/>
      <c r="Z9" s="198"/>
      <c r="AA9" s="199"/>
      <c r="AE9" s="196"/>
    </row>
    <row r="10" spans="1:31" ht="38.25">
      <c r="A10" s="207" t="s">
        <v>481</v>
      </c>
      <c r="B10" s="190" t="s">
        <v>482</v>
      </c>
      <c r="C10" s="208"/>
      <c r="D10" s="208"/>
      <c r="E10" s="209"/>
      <c r="F10" s="209"/>
      <c r="G10" s="208"/>
      <c r="H10" s="208"/>
      <c r="I10" s="209"/>
      <c r="J10" s="209"/>
      <c r="K10" s="209"/>
      <c r="L10" s="209"/>
      <c r="M10" s="209"/>
      <c r="N10" s="208"/>
      <c r="O10" s="208"/>
      <c r="P10" s="208"/>
      <c r="Q10" s="208"/>
      <c r="R10" s="208"/>
      <c r="S10" s="208"/>
      <c r="T10" s="208"/>
      <c r="U10" s="208"/>
      <c r="V10" s="208"/>
      <c r="W10" s="210" t="s">
        <v>472</v>
      </c>
      <c r="X10" s="212" t="s">
        <v>483</v>
      </c>
      <c r="Y10" s="213"/>
      <c r="Z10" s="198"/>
      <c r="AA10" s="199"/>
      <c r="AE10" s="196"/>
    </row>
    <row r="11" spans="1:31" ht="63.75">
      <c r="A11" s="207" t="s">
        <v>484</v>
      </c>
      <c r="B11" s="190" t="s">
        <v>485</v>
      </c>
      <c r="C11" s="208"/>
      <c r="D11" s="208"/>
      <c r="E11" s="208"/>
      <c r="F11" s="208"/>
      <c r="G11" s="209"/>
      <c r="H11" s="209"/>
      <c r="I11" s="209"/>
      <c r="J11" s="209"/>
      <c r="K11" s="209"/>
      <c r="L11" s="209"/>
      <c r="M11" s="209"/>
      <c r="N11" s="208"/>
      <c r="O11" s="208"/>
      <c r="P11" s="208"/>
      <c r="Q11" s="208"/>
      <c r="R11" s="208"/>
      <c r="S11" s="208"/>
      <c r="T11" s="208"/>
      <c r="U11" s="208"/>
      <c r="V11" s="208"/>
      <c r="W11" s="210" t="s">
        <v>472</v>
      </c>
      <c r="X11" s="212" t="s">
        <v>483</v>
      </c>
      <c r="Y11" s="213"/>
      <c r="Z11" s="198"/>
      <c r="AA11" s="199"/>
      <c r="AE11" s="196"/>
    </row>
    <row r="12" spans="1:31" ht="45.75" customHeight="1">
      <c r="A12" s="207" t="s">
        <v>486</v>
      </c>
      <c r="B12" s="190" t="s">
        <v>487</v>
      </c>
      <c r="C12" s="209"/>
      <c r="D12" s="209"/>
      <c r="E12" s="209"/>
      <c r="F12" s="209"/>
      <c r="G12" s="209"/>
      <c r="H12" s="209"/>
      <c r="I12" s="209"/>
      <c r="J12" s="209"/>
      <c r="K12" s="209"/>
      <c r="L12" s="209"/>
      <c r="M12" s="209"/>
      <c r="N12" s="209"/>
      <c r="O12" s="208"/>
      <c r="P12" s="208"/>
      <c r="Q12" s="208"/>
      <c r="R12" s="208"/>
      <c r="S12" s="208"/>
      <c r="T12" s="208"/>
      <c r="U12" s="208"/>
      <c r="V12" s="208"/>
      <c r="W12" s="210" t="s">
        <v>472</v>
      </c>
      <c r="X12" s="212"/>
      <c r="Y12" s="213"/>
      <c r="Z12" s="198"/>
      <c r="AA12" s="199"/>
      <c r="AE12" s="196"/>
    </row>
    <row r="13" spans="1:31" ht="42.75" customHeight="1">
      <c r="A13" s="207" t="s">
        <v>488</v>
      </c>
      <c r="B13" s="190" t="s">
        <v>489</v>
      </c>
      <c r="C13" s="209"/>
      <c r="D13" s="209"/>
      <c r="E13" s="209"/>
      <c r="F13" s="209"/>
      <c r="G13" s="209"/>
      <c r="H13" s="209"/>
      <c r="I13" s="209"/>
      <c r="J13" s="209"/>
      <c r="K13" s="209"/>
      <c r="L13" s="209"/>
      <c r="M13" s="209"/>
      <c r="N13" s="209"/>
      <c r="O13" s="208"/>
      <c r="P13" s="208"/>
      <c r="Q13" s="208"/>
      <c r="R13" s="208"/>
      <c r="S13" s="208"/>
      <c r="T13" s="208"/>
      <c r="U13" s="208"/>
      <c r="V13" s="208"/>
      <c r="W13" s="210"/>
      <c r="X13" s="212"/>
      <c r="Y13" s="213"/>
      <c r="Z13" s="198"/>
      <c r="AA13" s="199"/>
      <c r="AE13" s="196"/>
    </row>
    <row r="14" spans="1:31" ht="57.75" customHeight="1">
      <c r="A14" s="207" t="s">
        <v>490</v>
      </c>
      <c r="B14" s="190" t="s">
        <v>491</v>
      </c>
      <c r="C14" s="208"/>
      <c r="D14" s="208"/>
      <c r="E14" s="208"/>
      <c r="F14" s="209"/>
      <c r="G14" s="206"/>
      <c r="H14" s="209"/>
      <c r="I14" s="208"/>
      <c r="J14" s="208"/>
      <c r="K14" s="208"/>
      <c r="L14" s="208"/>
      <c r="M14" s="208"/>
      <c r="N14" s="208"/>
      <c r="O14" s="208"/>
      <c r="P14" s="208"/>
      <c r="Q14" s="208"/>
      <c r="R14" s="208"/>
      <c r="S14" s="208"/>
      <c r="T14" s="208"/>
      <c r="U14" s="208"/>
      <c r="V14" s="208"/>
      <c r="W14" s="210" t="s">
        <v>472</v>
      </c>
      <c r="X14" s="211" t="s">
        <v>492</v>
      </c>
      <c r="Y14" s="202"/>
      <c r="Z14" s="198"/>
      <c r="AA14" s="199"/>
      <c r="AE14" s="196"/>
    </row>
    <row r="15" spans="1:31">
      <c r="A15" s="214"/>
      <c r="B15" s="986" t="s">
        <v>493</v>
      </c>
      <c r="C15" s="935"/>
      <c r="D15" s="935"/>
      <c r="E15" s="935"/>
      <c r="F15" s="935"/>
      <c r="G15" s="935"/>
      <c r="H15" s="935"/>
      <c r="I15" s="935"/>
      <c r="J15" s="935"/>
      <c r="K15" s="935"/>
      <c r="L15" s="935"/>
      <c r="M15" s="935"/>
      <c r="N15" s="935"/>
      <c r="O15" s="935"/>
      <c r="P15" s="935"/>
      <c r="Q15" s="935"/>
      <c r="R15" s="935"/>
      <c r="S15" s="935"/>
      <c r="T15" s="935"/>
      <c r="U15" s="935"/>
      <c r="V15" s="935"/>
      <c r="W15" s="935"/>
      <c r="X15" s="987"/>
      <c r="Y15" s="215">
        <f>242339.901</f>
        <v>242339.90100000001</v>
      </c>
      <c r="Z15" s="198"/>
      <c r="AA15" s="199"/>
      <c r="AB15" s="196">
        <f>242339.901</f>
        <v>242339.90100000001</v>
      </c>
      <c r="AC15" s="196"/>
      <c r="AD15" s="196"/>
      <c r="AE15" s="216">
        <f>Y15/Y116</f>
        <v>0.17391304344705907</v>
      </c>
    </row>
    <row r="16" spans="1:31" ht="25.5">
      <c r="A16" s="210" t="s">
        <v>494</v>
      </c>
      <c r="B16" s="191" t="s">
        <v>495</v>
      </c>
      <c r="C16" s="195"/>
      <c r="D16" s="195"/>
      <c r="E16" s="195"/>
      <c r="F16" s="217"/>
      <c r="G16" s="217"/>
      <c r="H16" s="217"/>
      <c r="I16" s="217"/>
      <c r="J16" s="217"/>
      <c r="K16" s="217"/>
      <c r="L16" s="217"/>
      <c r="M16" s="217"/>
      <c r="N16" s="217"/>
      <c r="O16" s="195"/>
      <c r="P16" s="195"/>
      <c r="Q16" s="195"/>
      <c r="R16" s="195"/>
      <c r="S16" s="208"/>
      <c r="T16" s="208"/>
      <c r="U16" s="208"/>
      <c r="V16" s="208"/>
      <c r="W16" s="210" t="s">
        <v>472</v>
      </c>
      <c r="X16" s="212" t="s">
        <v>496</v>
      </c>
      <c r="Y16" s="213"/>
      <c r="Z16" s="198"/>
      <c r="AA16" s="199"/>
      <c r="AE16" s="196"/>
    </row>
    <row r="17" spans="1:31" ht="107.25" customHeight="1">
      <c r="A17" s="210" t="s">
        <v>497</v>
      </c>
      <c r="B17" s="190" t="s">
        <v>498</v>
      </c>
      <c r="C17" s="208"/>
      <c r="D17" s="208"/>
      <c r="E17" s="209"/>
      <c r="F17" s="209"/>
      <c r="G17" s="209"/>
      <c r="H17" s="209"/>
      <c r="I17" s="217"/>
      <c r="J17" s="217"/>
      <c r="K17" s="217" t="s">
        <v>449</v>
      </c>
      <c r="L17" s="217"/>
      <c r="M17" s="217"/>
      <c r="N17" s="217"/>
      <c r="O17" s="208"/>
      <c r="P17" s="208"/>
      <c r="Q17" s="208"/>
      <c r="R17" s="208"/>
      <c r="S17" s="208"/>
      <c r="T17" s="208"/>
      <c r="U17" s="208"/>
      <c r="V17" s="208"/>
      <c r="W17" s="210" t="s">
        <v>472</v>
      </c>
      <c r="X17" s="211" t="s">
        <v>499</v>
      </c>
      <c r="Y17" s="202"/>
      <c r="Z17" s="198"/>
      <c r="AA17" s="199"/>
      <c r="AE17" s="196"/>
    </row>
    <row r="18" spans="1:31" ht="58.5" customHeight="1">
      <c r="A18" s="210" t="s">
        <v>500</v>
      </c>
      <c r="B18" s="190" t="s">
        <v>501</v>
      </c>
      <c r="C18" s="208"/>
      <c r="D18" s="208"/>
      <c r="E18" s="208"/>
      <c r="F18" s="209"/>
      <c r="G18" s="209"/>
      <c r="H18" s="209"/>
      <c r="I18" s="209"/>
      <c r="J18" s="209"/>
      <c r="K18" s="209"/>
      <c r="L18" s="209"/>
      <c r="M18" s="209"/>
      <c r="N18" s="209"/>
      <c r="O18" s="208"/>
      <c r="P18" s="208"/>
      <c r="Q18" s="208"/>
      <c r="R18" s="208"/>
      <c r="S18" s="208"/>
      <c r="T18" s="208"/>
      <c r="U18" s="208"/>
      <c r="V18" s="208"/>
      <c r="W18" s="210" t="s">
        <v>472</v>
      </c>
      <c r="X18" s="194" t="s">
        <v>502</v>
      </c>
      <c r="Y18" s="202"/>
      <c r="Z18" s="198"/>
      <c r="AA18" s="199"/>
      <c r="AE18" s="196"/>
    </row>
    <row r="19" spans="1:31" ht="15.75" customHeight="1">
      <c r="A19" s="210" t="s">
        <v>503</v>
      </c>
      <c r="B19" s="210"/>
      <c r="C19" s="208"/>
      <c r="D19" s="208"/>
      <c r="E19" s="208"/>
      <c r="F19" s="208"/>
      <c r="G19" s="208"/>
      <c r="H19" s="208"/>
      <c r="I19" s="217"/>
      <c r="J19" s="217"/>
      <c r="K19" s="217"/>
      <c r="L19" s="217"/>
      <c r="M19" s="208"/>
      <c r="N19" s="208"/>
      <c r="O19" s="208"/>
      <c r="P19" s="208"/>
      <c r="Q19" s="208"/>
      <c r="R19" s="208"/>
      <c r="S19" s="208"/>
      <c r="T19" s="208"/>
      <c r="U19" s="208"/>
      <c r="V19" s="208"/>
      <c r="W19" s="210"/>
      <c r="X19" s="212"/>
      <c r="Y19" s="213"/>
      <c r="Z19" s="198"/>
      <c r="AA19" s="199"/>
      <c r="AE19" s="196"/>
    </row>
    <row r="20" spans="1:31" ht="51">
      <c r="A20" s="210" t="s">
        <v>504</v>
      </c>
      <c r="B20" s="191" t="s">
        <v>505</v>
      </c>
      <c r="C20" s="208"/>
      <c r="D20" s="208"/>
      <c r="E20" s="208"/>
      <c r="F20" s="208"/>
      <c r="G20" s="208"/>
      <c r="H20" s="208"/>
      <c r="I20" s="208"/>
      <c r="J20" s="217"/>
      <c r="K20" s="217"/>
      <c r="L20" s="217"/>
      <c r="M20" s="217"/>
      <c r="N20" s="217"/>
      <c r="O20" s="208"/>
      <c r="P20" s="208"/>
      <c r="Q20" s="208"/>
      <c r="R20" s="208"/>
      <c r="S20" s="208"/>
      <c r="T20" s="208"/>
      <c r="U20" s="208"/>
      <c r="V20" s="208"/>
      <c r="W20" s="210" t="s">
        <v>472</v>
      </c>
      <c r="X20" s="211" t="s">
        <v>506</v>
      </c>
      <c r="Y20" s="202"/>
      <c r="Z20" s="198"/>
      <c r="AA20" s="199"/>
      <c r="AE20" s="196"/>
    </row>
    <row r="21" spans="1:31" ht="81" customHeight="1">
      <c r="A21" s="210" t="s">
        <v>507</v>
      </c>
      <c r="B21" s="190" t="s">
        <v>508</v>
      </c>
      <c r="C21" s="218"/>
      <c r="D21" s="219"/>
      <c r="E21" s="219"/>
      <c r="F21" s="219"/>
      <c r="G21" s="219"/>
      <c r="H21" s="208"/>
      <c r="I21" s="208"/>
      <c r="J21" s="217"/>
      <c r="K21" s="217"/>
      <c r="L21" s="208"/>
      <c r="M21" s="209"/>
      <c r="N21" s="209"/>
      <c r="O21" s="208"/>
      <c r="P21" s="208"/>
      <c r="Q21" s="208"/>
      <c r="R21" s="208"/>
      <c r="S21" s="208"/>
      <c r="T21" s="208"/>
      <c r="U21" s="208"/>
      <c r="V21" s="208"/>
      <c r="W21" s="210" t="s">
        <v>472</v>
      </c>
      <c r="X21" s="211" t="s">
        <v>509</v>
      </c>
      <c r="Y21" s="202"/>
      <c r="Z21" s="198"/>
      <c r="AA21" s="199"/>
      <c r="AE21" s="196"/>
    </row>
    <row r="22" spans="1:31" ht="15.75" customHeight="1">
      <c r="A22" s="210" t="s">
        <v>510</v>
      </c>
      <c r="B22" s="190" t="s">
        <v>511</v>
      </c>
      <c r="C22" s="208"/>
      <c r="D22" s="208"/>
      <c r="E22" s="208"/>
      <c r="F22" s="208"/>
      <c r="G22" s="208"/>
      <c r="H22" s="208"/>
      <c r="I22" s="208"/>
      <c r="J22" s="217"/>
      <c r="K22" s="217"/>
      <c r="L22" s="208"/>
      <c r="M22" s="209"/>
      <c r="N22" s="209"/>
      <c r="O22" s="208"/>
      <c r="P22" s="208"/>
      <c r="Q22" s="208"/>
      <c r="R22" s="208"/>
      <c r="S22" s="208"/>
      <c r="T22" s="208"/>
      <c r="U22" s="208"/>
      <c r="V22" s="208"/>
      <c r="W22" s="210" t="s">
        <v>472</v>
      </c>
      <c r="X22" s="211" t="s">
        <v>512</v>
      </c>
      <c r="Y22" s="202"/>
      <c r="Z22" s="198"/>
      <c r="AA22" s="199"/>
      <c r="AE22" s="196"/>
    </row>
    <row r="23" spans="1:31" ht="15.75" customHeight="1">
      <c r="A23" s="210"/>
      <c r="B23" s="190"/>
      <c r="C23" s="208"/>
      <c r="D23" s="208"/>
      <c r="E23" s="208"/>
      <c r="F23" s="208"/>
      <c r="G23" s="208"/>
      <c r="H23" s="208"/>
      <c r="I23" s="208"/>
      <c r="J23" s="217"/>
      <c r="K23" s="217"/>
      <c r="L23" s="217"/>
      <c r="M23" s="217"/>
      <c r="N23" s="217"/>
      <c r="O23" s="217"/>
      <c r="P23" s="217"/>
      <c r="Q23" s="217"/>
      <c r="R23" s="217"/>
      <c r="S23" s="217"/>
      <c r="T23" s="217"/>
      <c r="U23" s="217"/>
      <c r="V23" s="217"/>
      <c r="W23" s="220"/>
      <c r="X23" s="221"/>
      <c r="Y23" s="222"/>
      <c r="Z23" s="198"/>
      <c r="AA23" s="199"/>
      <c r="AE23" s="196"/>
    </row>
    <row r="24" spans="1:31" ht="39.75" customHeight="1">
      <c r="A24" s="210" t="s">
        <v>513</v>
      </c>
      <c r="B24" s="191" t="s">
        <v>514</v>
      </c>
      <c r="C24" s="208"/>
      <c r="D24" s="208"/>
      <c r="E24" s="208"/>
      <c r="F24" s="208"/>
      <c r="G24" s="208"/>
      <c r="H24" s="208"/>
      <c r="I24" s="208"/>
      <c r="J24" s="208"/>
      <c r="K24" s="217"/>
      <c r="L24" s="217"/>
      <c r="M24" s="217"/>
      <c r="N24" s="223"/>
      <c r="O24" s="208"/>
      <c r="P24" s="208"/>
      <c r="Q24" s="208"/>
      <c r="R24" s="208"/>
      <c r="S24" s="208"/>
      <c r="T24" s="208"/>
      <c r="U24" s="208"/>
      <c r="V24" s="208"/>
      <c r="W24" s="210" t="s">
        <v>472</v>
      </c>
      <c r="X24" s="211" t="s">
        <v>506</v>
      </c>
      <c r="Y24" s="202"/>
      <c r="Z24" s="198"/>
      <c r="AA24" s="199"/>
      <c r="AE24" s="196"/>
    </row>
    <row r="25" spans="1:31" ht="39.75" customHeight="1">
      <c r="A25" s="210"/>
      <c r="B25" s="190" t="s">
        <v>515</v>
      </c>
      <c r="C25" s="208"/>
      <c r="D25" s="208"/>
      <c r="E25" s="208"/>
      <c r="F25" s="208"/>
      <c r="G25" s="208"/>
      <c r="H25" s="208"/>
      <c r="I25" s="208"/>
      <c r="J25" s="208"/>
      <c r="K25" s="217"/>
      <c r="L25" s="217"/>
      <c r="M25" s="217"/>
      <c r="N25" s="223"/>
      <c r="O25" s="208"/>
      <c r="P25" s="208"/>
      <c r="Q25" s="208"/>
      <c r="R25" s="208"/>
      <c r="S25" s="208"/>
      <c r="T25" s="208"/>
      <c r="U25" s="208"/>
      <c r="V25" s="208"/>
      <c r="W25" s="210" t="s">
        <v>472</v>
      </c>
      <c r="X25" s="211" t="s">
        <v>516</v>
      </c>
      <c r="Y25" s="202"/>
      <c r="Z25" s="198"/>
      <c r="AA25" s="199"/>
      <c r="AB25" s="196"/>
      <c r="AC25" s="196"/>
      <c r="AD25" s="196"/>
      <c r="AE25" s="196"/>
    </row>
    <row r="26" spans="1:31" ht="39.75" customHeight="1">
      <c r="A26" s="210"/>
      <c r="B26" s="190" t="s">
        <v>517</v>
      </c>
      <c r="C26" s="208"/>
      <c r="D26" s="208"/>
      <c r="E26" s="224"/>
      <c r="F26" s="224"/>
      <c r="G26" s="224"/>
      <c r="H26" s="224"/>
      <c r="I26" s="224"/>
      <c r="J26" s="208"/>
      <c r="K26" s="217"/>
      <c r="L26" s="217"/>
      <c r="M26" s="217"/>
      <c r="N26" s="223"/>
      <c r="O26" s="208"/>
      <c r="P26" s="208"/>
      <c r="Q26" s="208"/>
      <c r="R26" s="208"/>
      <c r="S26" s="208"/>
      <c r="T26" s="208"/>
      <c r="U26" s="208"/>
      <c r="V26" s="208"/>
      <c r="W26" s="210" t="s">
        <v>518</v>
      </c>
      <c r="X26" s="211" t="s">
        <v>519</v>
      </c>
      <c r="Y26" s="202"/>
      <c r="Z26" s="198"/>
      <c r="AA26" s="199"/>
      <c r="AE26" s="196"/>
    </row>
    <row r="27" spans="1:31" ht="27.75" hidden="1" customHeight="1">
      <c r="A27" s="210"/>
      <c r="B27" s="191"/>
      <c r="C27" s="208"/>
      <c r="D27" s="208"/>
      <c r="E27" s="208"/>
      <c r="F27" s="208"/>
      <c r="G27" s="208"/>
      <c r="H27" s="208"/>
      <c r="I27" s="208"/>
      <c r="J27" s="208"/>
      <c r="K27" s="217"/>
      <c r="L27" s="217"/>
      <c r="M27" s="217"/>
      <c r="N27" s="223"/>
      <c r="O27" s="208"/>
      <c r="P27" s="208"/>
      <c r="Q27" s="208"/>
      <c r="R27" s="208"/>
      <c r="S27" s="208"/>
      <c r="T27" s="208"/>
      <c r="U27" s="208"/>
      <c r="V27" s="208"/>
      <c r="W27" s="210"/>
      <c r="X27" s="211"/>
      <c r="Y27" s="202"/>
      <c r="Z27" s="198"/>
      <c r="AA27" s="199"/>
      <c r="AE27" s="196"/>
    </row>
    <row r="28" spans="1:31" ht="48" customHeight="1">
      <c r="A28" s="210" t="s">
        <v>520</v>
      </c>
      <c r="B28" s="225" t="s">
        <v>521</v>
      </c>
      <c r="C28" s="208"/>
      <c r="D28" s="208"/>
      <c r="E28" s="208"/>
      <c r="F28" s="208"/>
      <c r="G28" s="208"/>
      <c r="H28" s="208"/>
      <c r="I28" s="208"/>
      <c r="J28" s="208"/>
      <c r="K28" s="208"/>
      <c r="L28" s="208"/>
      <c r="M28" s="217"/>
      <c r="N28" s="217"/>
      <c r="O28" s="208"/>
      <c r="P28" s="208"/>
      <c r="Q28" s="208"/>
      <c r="R28" s="208"/>
      <c r="S28" s="208"/>
      <c r="T28" s="208"/>
      <c r="U28" s="208"/>
      <c r="V28" s="208"/>
      <c r="W28" s="210"/>
      <c r="X28" s="211"/>
      <c r="Y28" s="202"/>
      <c r="Z28" s="198"/>
      <c r="AA28" s="199"/>
      <c r="AE28" s="196"/>
    </row>
    <row r="29" spans="1:31" ht="22.5" customHeight="1">
      <c r="A29" s="210" t="s">
        <v>522</v>
      </c>
      <c r="B29" s="190" t="s">
        <v>523</v>
      </c>
      <c r="C29" s="208"/>
      <c r="D29" s="208"/>
      <c r="E29" s="208"/>
      <c r="F29" s="208"/>
      <c r="G29" s="208"/>
      <c r="H29" s="208"/>
      <c r="I29" s="208"/>
      <c r="J29" s="208"/>
      <c r="K29" s="208"/>
      <c r="L29" s="226"/>
      <c r="M29" s="226"/>
      <c r="N29" s="209"/>
      <c r="O29" s="208"/>
      <c r="P29" s="208"/>
      <c r="Q29" s="208"/>
      <c r="R29" s="208"/>
      <c r="S29" s="208"/>
      <c r="T29" s="208"/>
      <c r="U29" s="208"/>
      <c r="V29" s="208"/>
      <c r="W29" s="210" t="s">
        <v>518</v>
      </c>
      <c r="X29" s="211" t="s">
        <v>524</v>
      </c>
      <c r="Y29" s="202"/>
      <c r="Z29" s="198"/>
      <c r="AA29" s="199"/>
      <c r="AE29" s="196"/>
    </row>
    <row r="30" spans="1:31" ht="21.75" customHeight="1">
      <c r="A30" s="210"/>
      <c r="B30" s="190" t="s">
        <v>525</v>
      </c>
      <c r="C30" s="208"/>
      <c r="D30" s="208"/>
      <c r="E30" s="208"/>
      <c r="F30" s="208"/>
      <c r="G30" s="208"/>
      <c r="H30" s="208"/>
      <c r="I30" s="208"/>
      <c r="J30" s="208"/>
      <c r="K30" s="208"/>
      <c r="L30" s="208"/>
      <c r="M30" s="208"/>
      <c r="N30" s="209"/>
      <c r="O30" s="208"/>
      <c r="P30" s="208"/>
      <c r="Q30" s="208"/>
      <c r="R30" s="208"/>
      <c r="S30" s="208"/>
      <c r="T30" s="208"/>
      <c r="U30" s="208"/>
      <c r="V30" s="208"/>
      <c r="W30" s="210" t="s">
        <v>472</v>
      </c>
      <c r="X30" s="211" t="s">
        <v>526</v>
      </c>
      <c r="Y30" s="202"/>
      <c r="Z30" s="198"/>
      <c r="AA30" s="199"/>
      <c r="AE30" s="196"/>
    </row>
    <row r="31" spans="1:31" ht="15.75" customHeight="1">
      <c r="A31" s="210" t="s">
        <v>527</v>
      </c>
      <c r="B31" s="190" t="s">
        <v>528</v>
      </c>
      <c r="C31" s="208"/>
      <c r="D31" s="208"/>
      <c r="E31" s="208"/>
      <c r="F31" s="208"/>
      <c r="G31" s="208"/>
      <c r="H31" s="208"/>
      <c r="I31" s="208"/>
      <c r="J31" s="208"/>
      <c r="K31" s="208"/>
      <c r="L31" s="208"/>
      <c r="M31" s="217"/>
      <c r="N31" s="209"/>
      <c r="O31" s="208"/>
      <c r="P31" s="208"/>
      <c r="Q31" s="208"/>
      <c r="R31" s="208"/>
      <c r="S31" s="208"/>
      <c r="T31" s="208"/>
      <c r="U31" s="208"/>
      <c r="V31" s="208"/>
      <c r="W31" s="210" t="s">
        <v>472</v>
      </c>
      <c r="X31" s="227" t="s">
        <v>529</v>
      </c>
      <c r="Y31" s="213"/>
      <c r="Z31" s="198"/>
      <c r="AA31" s="199"/>
      <c r="AE31" s="196"/>
    </row>
    <row r="32" spans="1:31" ht="15.75" customHeight="1">
      <c r="A32" s="210"/>
      <c r="B32" s="989" t="s">
        <v>530</v>
      </c>
      <c r="C32" s="935"/>
      <c r="D32" s="935"/>
      <c r="E32" s="935"/>
      <c r="F32" s="935"/>
      <c r="G32" s="935"/>
      <c r="H32" s="935"/>
      <c r="I32" s="935"/>
      <c r="J32" s="935"/>
      <c r="K32" s="935"/>
      <c r="L32" s="935"/>
      <c r="M32" s="935"/>
      <c r="N32" s="935"/>
      <c r="O32" s="935"/>
      <c r="P32" s="935"/>
      <c r="Q32" s="935"/>
      <c r="R32" s="935"/>
      <c r="S32" s="935"/>
      <c r="T32" s="935"/>
      <c r="U32" s="935"/>
      <c r="V32" s="935"/>
      <c r="W32" s="935"/>
      <c r="X32" s="987"/>
      <c r="Y32" s="215">
        <f>424094.827</f>
        <v>424094.82699999999</v>
      </c>
      <c r="Z32" s="198"/>
      <c r="AA32" s="199"/>
      <c r="AB32" s="196">
        <f>424094.827</f>
        <v>424094.82699999999</v>
      </c>
      <c r="AC32" s="196"/>
      <c r="AD32" s="196"/>
      <c r="AE32" s="216">
        <f>Y32/Y116</f>
        <v>0.30434782621176359</v>
      </c>
    </row>
    <row r="33" spans="1:31" ht="15.75" customHeight="1">
      <c r="A33" s="210" t="s">
        <v>531</v>
      </c>
      <c r="B33" s="228" t="s">
        <v>532</v>
      </c>
      <c r="C33" s="208"/>
      <c r="D33" s="208"/>
      <c r="E33" s="208"/>
      <c r="F33" s="217"/>
      <c r="G33" s="217"/>
      <c r="H33" s="217"/>
      <c r="I33" s="217"/>
      <c r="J33" s="217"/>
      <c r="K33" s="217"/>
      <c r="L33" s="217"/>
      <c r="M33" s="217"/>
      <c r="N33" s="217"/>
      <c r="O33" s="208"/>
      <c r="P33" s="208"/>
      <c r="Q33" s="208"/>
      <c r="R33" s="208"/>
      <c r="S33" s="208"/>
      <c r="T33" s="208"/>
      <c r="U33" s="208"/>
      <c r="V33" s="208"/>
      <c r="W33" s="210" t="s">
        <v>472</v>
      </c>
      <c r="X33" s="212"/>
      <c r="Y33" s="213"/>
      <c r="Z33" s="198"/>
      <c r="AA33" s="199"/>
      <c r="AE33" s="196"/>
    </row>
    <row r="34" spans="1:31" ht="61.5" customHeight="1">
      <c r="A34" s="210" t="s">
        <v>533</v>
      </c>
      <c r="B34" s="190" t="s">
        <v>534</v>
      </c>
      <c r="C34" s="209"/>
      <c r="D34" s="209"/>
      <c r="E34" s="209"/>
      <c r="F34" s="209"/>
      <c r="G34" s="209"/>
      <c r="H34" s="209"/>
      <c r="I34" s="209"/>
      <c r="J34" s="209"/>
      <c r="K34" s="209"/>
      <c r="L34" s="209"/>
      <c r="M34" s="209"/>
      <c r="N34" s="209"/>
      <c r="O34" s="208"/>
      <c r="P34" s="208"/>
      <c r="Q34" s="208"/>
      <c r="R34" s="208"/>
      <c r="S34" s="208"/>
      <c r="T34" s="208"/>
      <c r="U34" s="208"/>
      <c r="V34" s="208"/>
      <c r="W34" s="210" t="s">
        <v>472</v>
      </c>
      <c r="X34" s="211" t="s">
        <v>535</v>
      </c>
      <c r="Y34" s="202"/>
      <c r="Z34" s="198"/>
      <c r="AA34" s="199"/>
      <c r="AE34" s="196"/>
    </row>
    <row r="35" spans="1:31" ht="37.5" customHeight="1">
      <c r="A35" s="210" t="s">
        <v>536</v>
      </c>
      <c r="B35" s="190" t="s">
        <v>537</v>
      </c>
      <c r="C35" s="208"/>
      <c r="D35" s="208"/>
      <c r="E35" s="208"/>
      <c r="F35" s="209"/>
      <c r="G35" s="209"/>
      <c r="H35" s="209"/>
      <c r="I35" s="209"/>
      <c r="J35" s="217"/>
      <c r="K35" s="217"/>
      <c r="L35" s="217"/>
      <c r="M35" s="217"/>
      <c r="N35" s="229"/>
      <c r="O35" s="208"/>
      <c r="P35" s="208"/>
      <c r="Q35" s="208"/>
      <c r="R35" s="208"/>
      <c r="S35" s="208"/>
      <c r="T35" s="208"/>
      <c r="U35" s="208"/>
      <c r="V35" s="208"/>
      <c r="W35" s="210" t="s">
        <v>472</v>
      </c>
      <c r="X35" s="230" t="s">
        <v>538</v>
      </c>
      <c r="Y35" s="202"/>
      <c r="Z35" s="198"/>
      <c r="AA35" s="199"/>
      <c r="AE35" s="196"/>
    </row>
    <row r="36" spans="1:31" ht="51" customHeight="1">
      <c r="A36" s="210" t="s">
        <v>539</v>
      </c>
      <c r="B36" s="225" t="s">
        <v>540</v>
      </c>
      <c r="C36" s="208"/>
      <c r="D36" s="208"/>
      <c r="E36" s="208"/>
      <c r="F36" s="208"/>
      <c r="G36" s="208"/>
      <c r="H36" s="208"/>
      <c r="I36" s="208"/>
      <c r="J36" s="217"/>
      <c r="K36" s="217"/>
      <c r="L36" s="217"/>
      <c r="M36" s="217"/>
      <c r="N36" s="217"/>
      <c r="O36" s="208"/>
      <c r="P36" s="208"/>
      <c r="Q36" s="208"/>
      <c r="R36" s="208"/>
      <c r="S36" s="208"/>
      <c r="T36" s="208"/>
      <c r="U36" s="208"/>
      <c r="V36" s="208"/>
      <c r="W36" s="210"/>
      <c r="X36" s="227"/>
      <c r="Y36" s="213"/>
      <c r="Z36" s="198"/>
      <c r="AA36" s="199"/>
      <c r="AE36" s="196"/>
    </row>
    <row r="37" spans="1:31" ht="30" customHeight="1">
      <c r="A37" s="210" t="s">
        <v>541</v>
      </c>
      <c r="B37" s="190" t="s">
        <v>542</v>
      </c>
      <c r="C37" s="208"/>
      <c r="D37" s="208"/>
      <c r="E37" s="209"/>
      <c r="F37" s="209"/>
      <c r="G37" s="209"/>
      <c r="H37" s="209"/>
      <c r="I37" s="209"/>
      <c r="J37" s="209"/>
      <c r="K37" s="209"/>
      <c r="L37" s="208"/>
      <c r="M37" s="209"/>
      <c r="N37" s="209"/>
      <c r="O37" s="208"/>
      <c r="P37" s="208"/>
      <c r="Q37" s="208"/>
      <c r="R37" s="208"/>
      <c r="S37" s="208"/>
      <c r="T37" s="208"/>
      <c r="U37" s="208"/>
      <c r="V37" s="208"/>
      <c r="W37" s="210" t="s">
        <v>472</v>
      </c>
      <c r="X37" s="211" t="s">
        <v>543</v>
      </c>
      <c r="Y37" s="202"/>
      <c r="Z37" s="198"/>
      <c r="AA37" s="199"/>
      <c r="AE37" s="196"/>
    </row>
    <row r="38" spans="1:31" ht="33" customHeight="1">
      <c r="A38" s="210" t="s">
        <v>544</v>
      </c>
      <c r="B38" s="190" t="s">
        <v>545</v>
      </c>
      <c r="C38" s="208"/>
      <c r="D38" s="208"/>
      <c r="E38" s="209"/>
      <c r="F38" s="209"/>
      <c r="G38" s="209"/>
      <c r="H38" s="209"/>
      <c r="I38" s="209"/>
      <c r="J38" s="209"/>
      <c r="K38" s="217"/>
      <c r="L38" s="208"/>
      <c r="M38" s="217"/>
      <c r="N38" s="217"/>
      <c r="O38" s="208"/>
      <c r="P38" s="208"/>
      <c r="Q38" s="208"/>
      <c r="R38" s="208"/>
      <c r="S38" s="208"/>
      <c r="T38" s="208"/>
      <c r="U38" s="208"/>
      <c r="V38" s="208"/>
      <c r="W38" s="210"/>
      <c r="X38" s="211"/>
      <c r="Y38" s="202"/>
      <c r="Z38" s="198"/>
      <c r="AA38" s="199"/>
      <c r="AE38" s="196"/>
    </row>
    <row r="39" spans="1:31" ht="39.75" customHeight="1">
      <c r="A39" s="210" t="s">
        <v>546</v>
      </c>
      <c r="B39" s="190" t="s">
        <v>547</v>
      </c>
      <c r="C39" s="208"/>
      <c r="D39" s="209"/>
      <c r="E39" s="209"/>
      <c r="F39" s="209"/>
      <c r="G39" s="209"/>
      <c r="H39" s="209"/>
      <c r="I39" s="208"/>
      <c r="J39" s="217"/>
      <c r="K39" s="209"/>
      <c r="L39" s="209"/>
      <c r="M39" s="209"/>
      <c r="N39" s="209"/>
      <c r="O39" s="208"/>
      <c r="P39" s="208"/>
      <c r="Q39" s="208"/>
      <c r="R39" s="208"/>
      <c r="S39" s="208"/>
      <c r="T39" s="208"/>
      <c r="U39" s="208"/>
      <c r="V39" s="208"/>
      <c r="W39" s="210" t="s">
        <v>472</v>
      </c>
      <c r="X39" s="211"/>
      <c r="Y39" s="202"/>
      <c r="Z39" s="198"/>
      <c r="AA39" s="199"/>
      <c r="AE39" s="196"/>
    </row>
    <row r="40" spans="1:31" ht="54.75" customHeight="1">
      <c r="A40" s="210" t="s">
        <v>548</v>
      </c>
      <c r="B40" s="190" t="s">
        <v>549</v>
      </c>
      <c r="C40" s="209"/>
      <c r="D40" s="209"/>
      <c r="E40" s="209"/>
      <c r="F40" s="209"/>
      <c r="G40" s="209"/>
      <c r="H40" s="209"/>
      <c r="I40" s="209"/>
      <c r="J40" s="209"/>
      <c r="K40" s="209"/>
      <c r="L40" s="209"/>
      <c r="M40" s="209"/>
      <c r="N40" s="209"/>
      <c r="O40" s="208"/>
      <c r="P40" s="208"/>
      <c r="Q40" s="208"/>
      <c r="R40" s="208"/>
      <c r="S40" s="208"/>
      <c r="T40" s="208"/>
      <c r="U40" s="208"/>
      <c r="V40" s="208"/>
      <c r="W40" s="210" t="s">
        <v>472</v>
      </c>
      <c r="X40" s="211" t="s">
        <v>550</v>
      </c>
      <c r="Y40" s="202"/>
      <c r="Z40" s="198"/>
      <c r="AA40" s="199"/>
      <c r="AE40" s="196"/>
    </row>
    <row r="41" spans="1:31" ht="77.25" customHeight="1">
      <c r="A41" s="210" t="s">
        <v>551</v>
      </c>
      <c r="B41" s="190" t="s">
        <v>552</v>
      </c>
      <c r="C41" s="208"/>
      <c r="D41" s="209"/>
      <c r="E41" s="209"/>
      <c r="F41" s="209"/>
      <c r="G41" s="209"/>
      <c r="H41" s="209"/>
      <c r="I41" s="209"/>
      <c r="J41" s="209"/>
      <c r="K41" s="209"/>
      <c r="L41" s="208"/>
      <c r="M41" s="217"/>
      <c r="N41" s="217"/>
      <c r="O41" s="208"/>
      <c r="P41" s="208"/>
      <c r="Q41" s="208"/>
      <c r="R41" s="208"/>
      <c r="S41" s="208"/>
      <c r="T41" s="208"/>
      <c r="U41" s="208"/>
      <c r="V41" s="208"/>
      <c r="W41" s="210" t="s">
        <v>472</v>
      </c>
      <c r="X41" s="211" t="s">
        <v>553</v>
      </c>
      <c r="Y41" s="202"/>
      <c r="Z41" s="198"/>
      <c r="AA41" s="199"/>
      <c r="AE41" s="196"/>
    </row>
    <row r="42" spans="1:31" ht="78" customHeight="1">
      <c r="A42" s="210" t="s">
        <v>554</v>
      </c>
      <c r="B42" s="190" t="s">
        <v>555</v>
      </c>
      <c r="C42" s="209"/>
      <c r="D42" s="209"/>
      <c r="E42" s="209"/>
      <c r="F42" s="209"/>
      <c r="G42" s="209"/>
      <c r="H42" s="209"/>
      <c r="I42" s="209"/>
      <c r="J42" s="209"/>
      <c r="K42" s="209"/>
      <c r="L42" s="209"/>
      <c r="M42" s="209"/>
      <c r="N42" s="209"/>
      <c r="O42" s="208"/>
      <c r="P42" s="208"/>
      <c r="Q42" s="208"/>
      <c r="R42" s="208"/>
      <c r="S42" s="208"/>
      <c r="T42" s="208"/>
      <c r="U42" s="208"/>
      <c r="V42" s="208"/>
      <c r="W42" s="210" t="s">
        <v>472</v>
      </c>
      <c r="X42" s="211" t="s">
        <v>556</v>
      </c>
      <c r="Y42" s="202"/>
      <c r="Z42" s="198"/>
      <c r="AA42" s="199"/>
      <c r="AE42" s="196"/>
    </row>
    <row r="43" spans="1:31" ht="67.5" customHeight="1">
      <c r="A43" s="210" t="s">
        <v>557</v>
      </c>
      <c r="B43" s="190" t="s">
        <v>558</v>
      </c>
      <c r="C43" s="208"/>
      <c r="D43" s="209"/>
      <c r="E43" s="209"/>
      <c r="F43" s="209"/>
      <c r="G43" s="209"/>
      <c r="H43" s="209"/>
      <c r="I43" s="209"/>
      <c r="J43" s="209"/>
      <c r="K43" s="209"/>
      <c r="L43" s="209"/>
      <c r="M43" s="209"/>
      <c r="N43" s="209"/>
      <c r="O43" s="208"/>
      <c r="P43" s="208"/>
      <c r="Q43" s="208"/>
      <c r="R43" s="208"/>
      <c r="S43" s="208"/>
      <c r="T43" s="208"/>
      <c r="U43" s="208"/>
      <c r="V43" s="208"/>
      <c r="W43" s="210" t="s">
        <v>472</v>
      </c>
      <c r="X43" s="211" t="s">
        <v>556</v>
      </c>
      <c r="Y43" s="202"/>
      <c r="Z43" s="198"/>
      <c r="AA43" s="199"/>
      <c r="AE43" s="196"/>
    </row>
    <row r="44" spans="1:31" ht="38.25" customHeight="1">
      <c r="A44" s="210" t="s">
        <v>559</v>
      </c>
      <c r="B44" s="225" t="s">
        <v>560</v>
      </c>
      <c r="C44" s="208"/>
      <c r="D44" s="208"/>
      <c r="E44" s="208"/>
      <c r="F44" s="208"/>
      <c r="G44" s="217"/>
      <c r="H44" s="217"/>
      <c r="I44" s="217"/>
      <c r="J44" s="217"/>
      <c r="K44" s="217"/>
      <c r="L44" s="217"/>
      <c r="M44" s="217"/>
      <c r="N44" s="217"/>
      <c r="O44" s="208"/>
      <c r="P44" s="208"/>
      <c r="Q44" s="208"/>
      <c r="R44" s="208"/>
      <c r="S44" s="208"/>
      <c r="T44" s="208"/>
      <c r="U44" s="208"/>
      <c r="V44" s="208"/>
      <c r="W44" s="210"/>
      <c r="X44" s="211"/>
      <c r="Y44" s="202"/>
      <c r="Z44" s="198"/>
      <c r="AA44" s="199"/>
      <c r="AE44" s="196"/>
    </row>
    <row r="45" spans="1:31" ht="42" customHeight="1">
      <c r="A45" s="210" t="s">
        <v>561</v>
      </c>
      <c r="B45" s="190" t="s">
        <v>562</v>
      </c>
      <c r="C45" s="209"/>
      <c r="D45" s="209"/>
      <c r="E45" s="209"/>
      <c r="F45" s="209"/>
      <c r="G45" s="209"/>
      <c r="H45" s="209"/>
      <c r="I45" s="209"/>
      <c r="J45" s="209"/>
      <c r="K45" s="209"/>
      <c r="L45" s="209"/>
      <c r="M45" s="209"/>
      <c r="N45" s="209"/>
      <c r="O45" s="208"/>
      <c r="P45" s="208"/>
      <c r="Q45" s="208"/>
      <c r="R45" s="208"/>
      <c r="S45" s="208"/>
      <c r="T45" s="208"/>
      <c r="U45" s="208"/>
      <c r="V45" s="208"/>
      <c r="W45" s="210" t="s">
        <v>472</v>
      </c>
      <c r="X45" s="211" t="s">
        <v>563</v>
      </c>
      <c r="Y45" s="202"/>
      <c r="Z45" s="198"/>
      <c r="AA45" s="199"/>
      <c r="AE45" s="196"/>
    </row>
    <row r="46" spans="1:31" ht="52.5" customHeight="1">
      <c r="A46" s="210" t="s">
        <v>564</v>
      </c>
      <c r="B46" s="231" t="s">
        <v>565</v>
      </c>
      <c r="C46" s="208"/>
      <c r="D46" s="209"/>
      <c r="E46" s="209"/>
      <c r="F46" s="209"/>
      <c r="G46" s="209"/>
      <c r="H46" s="209"/>
      <c r="I46" s="209"/>
      <c r="J46" s="209"/>
      <c r="K46" s="229"/>
      <c r="L46" s="229"/>
      <c r="M46" s="229"/>
      <c r="N46" s="208"/>
      <c r="O46" s="208"/>
      <c r="P46" s="208"/>
      <c r="Q46" s="208"/>
      <c r="R46" s="208"/>
      <c r="S46" s="208"/>
      <c r="T46" s="208"/>
      <c r="U46" s="208"/>
      <c r="V46" s="208"/>
      <c r="W46" s="210" t="s">
        <v>566</v>
      </c>
      <c r="X46" s="211" t="s">
        <v>567</v>
      </c>
      <c r="Y46" s="202"/>
      <c r="Z46" s="198"/>
      <c r="AA46" s="199"/>
      <c r="AE46" s="196"/>
    </row>
    <row r="47" spans="1:31" ht="49.5" customHeight="1">
      <c r="A47" s="210" t="s">
        <v>568</v>
      </c>
      <c r="B47" s="231" t="s">
        <v>569</v>
      </c>
      <c r="C47" s="209"/>
      <c r="D47" s="209"/>
      <c r="E47" s="209"/>
      <c r="F47" s="209"/>
      <c r="G47" s="209"/>
      <c r="H47" s="209"/>
      <c r="I47" s="209"/>
      <c r="J47" s="209"/>
      <c r="K47" s="209"/>
      <c r="L47" s="209"/>
      <c r="M47" s="209"/>
      <c r="N47" s="209"/>
      <c r="O47" s="208"/>
      <c r="P47" s="208"/>
      <c r="Q47" s="208"/>
      <c r="R47" s="208"/>
      <c r="S47" s="208"/>
      <c r="T47" s="208"/>
      <c r="U47" s="208"/>
      <c r="V47" s="208"/>
      <c r="W47" s="210" t="s">
        <v>570</v>
      </c>
      <c r="X47" s="211" t="s">
        <v>472</v>
      </c>
      <c r="Y47" s="202"/>
      <c r="Z47" s="198"/>
      <c r="AA47" s="199"/>
      <c r="AE47" s="196"/>
    </row>
    <row r="48" spans="1:31" ht="38.25" customHeight="1">
      <c r="A48" s="210" t="s">
        <v>571</v>
      </c>
      <c r="B48" s="225" t="s">
        <v>572</v>
      </c>
      <c r="C48" s="208"/>
      <c r="D48" s="208"/>
      <c r="E48" s="208"/>
      <c r="F48" s="208"/>
      <c r="G48" s="208"/>
      <c r="H48" s="208"/>
      <c r="I48" s="229"/>
      <c r="J48" s="229"/>
      <c r="K48" s="229"/>
      <c r="L48" s="229"/>
      <c r="M48" s="229"/>
      <c r="N48" s="229"/>
      <c r="O48" s="208"/>
      <c r="P48" s="208"/>
      <c r="Q48" s="208"/>
      <c r="R48" s="208"/>
      <c r="S48" s="208"/>
      <c r="T48" s="208"/>
      <c r="U48" s="208"/>
      <c r="V48" s="208"/>
      <c r="W48" s="210" t="s">
        <v>573</v>
      </c>
      <c r="X48" s="211" t="s">
        <v>472</v>
      </c>
      <c r="Y48" s="202"/>
      <c r="Z48" s="198"/>
      <c r="AA48" s="199"/>
      <c r="AE48" s="196"/>
    </row>
    <row r="49" spans="1:31" ht="46.5" customHeight="1">
      <c r="A49" s="210" t="s">
        <v>574</v>
      </c>
      <c r="B49" s="190" t="s">
        <v>575</v>
      </c>
      <c r="C49" s="208"/>
      <c r="D49" s="209"/>
      <c r="E49" s="209"/>
      <c r="F49" s="209"/>
      <c r="G49" s="209"/>
      <c r="H49" s="209"/>
      <c r="I49" s="229"/>
      <c r="J49" s="229"/>
      <c r="K49" s="208"/>
      <c r="L49" s="208"/>
      <c r="M49" s="208"/>
      <c r="N49" s="208"/>
      <c r="O49" s="208"/>
      <c r="P49" s="208"/>
      <c r="Q49" s="208"/>
      <c r="R49" s="208"/>
      <c r="S49" s="208"/>
      <c r="T49" s="208"/>
      <c r="U49" s="208"/>
      <c r="V49" s="208"/>
      <c r="W49" s="210" t="s">
        <v>472</v>
      </c>
      <c r="X49" s="194" t="s">
        <v>576</v>
      </c>
      <c r="Y49" s="202"/>
      <c r="Z49" s="198"/>
      <c r="AA49" s="199"/>
      <c r="AE49" s="196"/>
    </row>
    <row r="50" spans="1:31" ht="48" customHeight="1">
      <c r="A50" s="210" t="s">
        <v>577</v>
      </c>
      <c r="B50" s="190" t="s">
        <v>578</v>
      </c>
      <c r="C50" s="208"/>
      <c r="D50" s="232"/>
      <c r="E50" s="209"/>
      <c r="F50" s="209"/>
      <c r="G50" s="209"/>
      <c r="H50" s="209"/>
      <c r="I50" s="209"/>
      <c r="J50" s="229"/>
      <c r="K50" s="229"/>
      <c r="L50" s="229"/>
      <c r="M50" s="208"/>
      <c r="N50" s="208"/>
      <c r="O50" s="208"/>
      <c r="P50" s="208"/>
      <c r="Q50" s="208"/>
      <c r="R50" s="208"/>
      <c r="S50" s="208"/>
      <c r="T50" s="208"/>
      <c r="U50" s="208"/>
      <c r="V50" s="208"/>
      <c r="W50" s="210" t="s">
        <v>472</v>
      </c>
      <c r="X50" s="211" t="s">
        <v>579</v>
      </c>
      <c r="Y50" s="202"/>
      <c r="Z50" s="198"/>
      <c r="AA50" s="199"/>
      <c r="AE50" s="196"/>
    </row>
    <row r="51" spans="1:31" ht="49.5" customHeight="1">
      <c r="A51" s="210" t="s">
        <v>580</v>
      </c>
      <c r="B51" s="190" t="s">
        <v>581</v>
      </c>
      <c r="C51" s="208"/>
      <c r="D51" s="208"/>
      <c r="E51" s="209"/>
      <c r="F51" s="209"/>
      <c r="G51" s="209"/>
      <c r="H51" s="209"/>
      <c r="I51" s="209"/>
      <c r="J51" s="209"/>
      <c r="K51" s="209"/>
      <c r="L51" s="209"/>
      <c r="M51" s="209"/>
      <c r="N51" s="229"/>
      <c r="O51" s="208"/>
      <c r="P51" s="208"/>
      <c r="Q51" s="208"/>
      <c r="R51" s="208"/>
      <c r="S51" s="208"/>
      <c r="T51" s="208"/>
      <c r="U51" s="208"/>
      <c r="V51" s="208"/>
      <c r="W51" s="210" t="s">
        <v>472</v>
      </c>
      <c r="X51" s="211" t="s">
        <v>582</v>
      </c>
      <c r="Y51" s="202"/>
      <c r="Z51" s="198"/>
      <c r="AA51" s="199"/>
      <c r="AE51" s="196"/>
    </row>
    <row r="52" spans="1:31" ht="27.75" hidden="1" customHeight="1">
      <c r="A52" s="220"/>
      <c r="B52" s="233"/>
      <c r="C52" s="217"/>
      <c r="D52" s="217"/>
      <c r="E52" s="217"/>
      <c r="F52" s="217"/>
      <c r="G52" s="217"/>
      <c r="H52" s="217"/>
      <c r="I52" s="217"/>
      <c r="J52" s="217"/>
      <c r="K52" s="217"/>
      <c r="L52" s="217"/>
      <c r="M52" s="217"/>
      <c r="N52" s="217"/>
      <c r="O52" s="217"/>
      <c r="P52" s="217"/>
      <c r="Q52" s="217"/>
      <c r="R52" s="217"/>
      <c r="S52" s="217"/>
      <c r="T52" s="217"/>
      <c r="U52" s="217"/>
      <c r="V52" s="217"/>
      <c r="W52" s="220"/>
      <c r="X52" s="234"/>
      <c r="Y52" s="235"/>
      <c r="Z52" s="236"/>
      <c r="AA52" s="237"/>
      <c r="AB52" s="238"/>
      <c r="AC52" s="238"/>
      <c r="AD52" s="238"/>
      <c r="AE52" s="238"/>
    </row>
    <row r="53" spans="1:31" ht="42.75" customHeight="1">
      <c r="A53" s="210" t="s">
        <v>583</v>
      </c>
      <c r="B53" s="225" t="s">
        <v>584</v>
      </c>
      <c r="C53" s="208"/>
      <c r="D53" s="208"/>
      <c r="E53" s="208"/>
      <c r="F53" s="208"/>
      <c r="G53" s="208"/>
      <c r="H53" s="217"/>
      <c r="I53" s="217"/>
      <c r="J53" s="217"/>
      <c r="K53" s="217"/>
      <c r="L53" s="217"/>
      <c r="M53" s="217"/>
      <c r="N53" s="217"/>
      <c r="O53" s="208"/>
      <c r="P53" s="208"/>
      <c r="Q53" s="208"/>
      <c r="R53" s="208"/>
      <c r="S53" s="208"/>
      <c r="T53" s="208"/>
      <c r="U53" s="208"/>
      <c r="V53" s="208"/>
      <c r="W53" s="210" t="s">
        <v>472</v>
      </c>
      <c r="X53" s="211"/>
      <c r="Y53" s="202"/>
      <c r="Z53" s="198"/>
      <c r="AA53" s="199"/>
      <c r="AE53" s="196"/>
    </row>
    <row r="54" spans="1:31" ht="52.5" customHeight="1">
      <c r="A54" s="210" t="s">
        <v>585</v>
      </c>
      <c r="B54" s="231" t="s">
        <v>586</v>
      </c>
      <c r="C54" s="208"/>
      <c r="D54" s="209"/>
      <c r="E54" s="209"/>
      <c r="F54" s="209"/>
      <c r="G54" s="209"/>
      <c r="H54" s="209"/>
      <c r="I54" s="209"/>
      <c r="J54" s="209"/>
      <c r="K54" s="209"/>
      <c r="L54" s="209"/>
      <c r="M54" s="208"/>
      <c r="N54" s="209"/>
      <c r="O54" s="208"/>
      <c r="P54" s="208"/>
      <c r="Q54" s="208"/>
      <c r="R54" s="208"/>
      <c r="S54" s="208"/>
      <c r="T54" s="208"/>
      <c r="U54" s="208"/>
      <c r="V54" s="208"/>
      <c r="W54" s="210" t="s">
        <v>472</v>
      </c>
      <c r="X54" s="211" t="s">
        <v>587</v>
      </c>
      <c r="Y54" s="202"/>
      <c r="Z54" s="198"/>
      <c r="AA54" s="199"/>
      <c r="AE54" s="196"/>
    </row>
    <row r="55" spans="1:31" ht="44.25" customHeight="1">
      <c r="A55" s="210" t="s">
        <v>588</v>
      </c>
      <c r="B55" s="239" t="s">
        <v>589</v>
      </c>
      <c r="C55" s="208"/>
      <c r="D55" s="209"/>
      <c r="E55" s="209"/>
      <c r="F55" s="209"/>
      <c r="G55" s="209"/>
      <c r="H55" s="209"/>
      <c r="I55" s="209"/>
      <c r="J55" s="209"/>
      <c r="K55" s="209"/>
      <c r="L55" s="209"/>
      <c r="M55" s="209"/>
      <c r="N55" s="208"/>
      <c r="O55" s="208"/>
      <c r="P55" s="208"/>
      <c r="Q55" s="208"/>
      <c r="R55" s="208"/>
      <c r="S55" s="208"/>
      <c r="T55" s="208"/>
      <c r="U55" s="208"/>
      <c r="V55" s="208"/>
      <c r="W55" s="210" t="s">
        <v>472</v>
      </c>
      <c r="X55" s="211" t="s">
        <v>590</v>
      </c>
      <c r="Y55" s="202"/>
      <c r="Z55" s="198"/>
      <c r="AA55" s="199"/>
      <c r="AE55" s="196"/>
    </row>
    <row r="56" spans="1:31" ht="76.5" customHeight="1">
      <c r="A56" s="210" t="s">
        <v>591</v>
      </c>
      <c r="B56" s="231" t="s">
        <v>592</v>
      </c>
      <c r="C56" s="209"/>
      <c r="D56" s="209"/>
      <c r="E56" s="209"/>
      <c r="F56" s="209"/>
      <c r="G56" s="209"/>
      <c r="H56" s="209"/>
      <c r="I56" s="209"/>
      <c r="J56" s="209"/>
      <c r="K56" s="209"/>
      <c r="L56" s="209"/>
      <c r="M56" s="209"/>
      <c r="N56" s="217"/>
      <c r="O56" s="208"/>
      <c r="P56" s="208"/>
      <c r="Q56" s="208"/>
      <c r="R56" s="208"/>
      <c r="S56" s="208"/>
      <c r="T56" s="208"/>
      <c r="U56" s="208"/>
      <c r="V56" s="208"/>
      <c r="W56" s="210" t="s">
        <v>472</v>
      </c>
      <c r="X56" s="211" t="s">
        <v>593</v>
      </c>
      <c r="Y56" s="202"/>
      <c r="Z56" s="198"/>
      <c r="AA56" s="199"/>
      <c r="AE56" s="196"/>
    </row>
    <row r="57" spans="1:31" ht="30.75" customHeight="1">
      <c r="A57" s="210" t="s">
        <v>594</v>
      </c>
      <c r="B57" s="191" t="s">
        <v>595</v>
      </c>
      <c r="C57" s="208"/>
      <c r="D57" s="208"/>
      <c r="E57" s="208"/>
      <c r="F57" s="208"/>
      <c r="G57" s="208"/>
      <c r="H57" s="208"/>
      <c r="I57" s="208"/>
      <c r="J57" s="217"/>
      <c r="K57" s="217"/>
      <c r="L57" s="217"/>
      <c r="M57" s="217"/>
      <c r="N57" s="217"/>
      <c r="O57" s="217"/>
      <c r="P57" s="217"/>
      <c r="Q57" s="217"/>
      <c r="R57" s="217"/>
      <c r="S57" s="217"/>
      <c r="T57" s="217"/>
      <c r="U57" s="217"/>
      <c r="V57" s="217"/>
      <c r="W57" s="220"/>
      <c r="X57" s="234"/>
      <c r="Y57" s="202"/>
      <c r="Z57" s="198"/>
      <c r="AA57" s="199"/>
      <c r="AE57" s="196"/>
    </row>
    <row r="58" spans="1:31" ht="39.75" customHeight="1">
      <c r="A58" s="210" t="s">
        <v>596</v>
      </c>
      <c r="B58" s="231" t="s">
        <v>597</v>
      </c>
      <c r="C58" s="208"/>
      <c r="D58" s="208"/>
      <c r="E58" s="209"/>
      <c r="F58" s="209"/>
      <c r="G58" s="209"/>
      <c r="H58" s="209"/>
      <c r="I58" s="208"/>
      <c r="J58" s="229"/>
      <c r="K58" s="229"/>
      <c r="L58" s="208"/>
      <c r="M58" s="208"/>
      <c r="N58" s="208"/>
      <c r="O58" s="208"/>
      <c r="P58" s="208"/>
      <c r="Q58" s="208"/>
      <c r="R58" s="208"/>
      <c r="S58" s="208"/>
      <c r="T58" s="208"/>
      <c r="U58" s="208"/>
      <c r="V58" s="208"/>
      <c r="W58" s="210" t="s">
        <v>472</v>
      </c>
      <c r="X58" s="211" t="s">
        <v>598</v>
      </c>
      <c r="Y58" s="202"/>
      <c r="Z58" s="198"/>
      <c r="AA58" s="199"/>
      <c r="AE58" s="196"/>
    </row>
    <row r="59" spans="1:31" ht="63.75" customHeight="1">
      <c r="A59" s="210" t="s">
        <v>599</v>
      </c>
      <c r="B59" s="240" t="s">
        <v>600</v>
      </c>
      <c r="C59" s="209"/>
      <c r="D59" s="209"/>
      <c r="E59" s="209"/>
      <c r="F59" s="209"/>
      <c r="G59" s="209"/>
      <c r="H59" s="209"/>
      <c r="I59" s="209"/>
      <c r="J59" s="209"/>
      <c r="K59" s="209"/>
      <c r="L59" s="209"/>
      <c r="M59" s="209"/>
      <c r="N59" s="209"/>
      <c r="O59" s="208"/>
      <c r="P59" s="208"/>
      <c r="Q59" s="208"/>
      <c r="R59" s="208"/>
      <c r="S59" s="208"/>
      <c r="T59" s="208"/>
      <c r="U59" s="208"/>
      <c r="V59" s="208"/>
      <c r="W59" s="210" t="s">
        <v>472</v>
      </c>
      <c r="X59" s="211" t="s">
        <v>598</v>
      </c>
      <c r="Y59" s="202"/>
      <c r="Z59" s="198"/>
      <c r="AA59" s="199"/>
      <c r="AE59" s="196"/>
    </row>
    <row r="60" spans="1:31" ht="49.5" customHeight="1">
      <c r="A60" s="210" t="s">
        <v>601</v>
      </c>
      <c r="B60" s="231" t="s">
        <v>602</v>
      </c>
      <c r="C60" s="209"/>
      <c r="D60" s="209"/>
      <c r="E60" s="209"/>
      <c r="F60" s="209"/>
      <c r="G60" s="209"/>
      <c r="H60" s="209"/>
      <c r="I60" s="209"/>
      <c r="J60" s="209"/>
      <c r="K60" s="209"/>
      <c r="L60" s="209"/>
      <c r="M60" s="209"/>
      <c r="N60" s="209"/>
      <c r="O60" s="208"/>
      <c r="P60" s="208"/>
      <c r="Q60" s="208"/>
      <c r="R60" s="208"/>
      <c r="S60" s="208"/>
      <c r="T60" s="208"/>
      <c r="U60" s="208"/>
      <c r="V60" s="208"/>
      <c r="W60" s="210" t="s">
        <v>518</v>
      </c>
      <c r="X60" s="211" t="s">
        <v>603</v>
      </c>
      <c r="Y60" s="202"/>
      <c r="Z60" s="198"/>
      <c r="AA60" s="199"/>
      <c r="AE60" s="196"/>
    </row>
    <row r="61" spans="1:31" ht="47.25" customHeight="1">
      <c r="A61" s="241" t="s">
        <v>604</v>
      </c>
      <c r="B61" s="225" t="s">
        <v>605</v>
      </c>
      <c r="C61" s="208"/>
      <c r="D61" s="208"/>
      <c r="E61" s="208"/>
      <c r="F61" s="208"/>
      <c r="G61" s="208"/>
      <c r="H61" s="208"/>
      <c r="I61" s="208"/>
      <c r="J61" s="208"/>
      <c r="K61" s="217"/>
      <c r="L61" s="217"/>
      <c r="M61" s="217"/>
      <c r="N61" s="217"/>
      <c r="O61" s="208"/>
      <c r="P61" s="208"/>
      <c r="Q61" s="208"/>
      <c r="R61" s="208"/>
      <c r="S61" s="208"/>
      <c r="T61" s="208"/>
      <c r="U61" s="208"/>
      <c r="V61" s="208"/>
      <c r="W61" s="210" t="s">
        <v>472</v>
      </c>
      <c r="X61" s="211" t="s">
        <v>606</v>
      </c>
      <c r="Y61" s="202"/>
      <c r="Z61" s="198"/>
      <c r="AA61" s="199"/>
      <c r="AE61" s="196"/>
    </row>
    <row r="62" spans="1:31" ht="49.5" customHeight="1">
      <c r="A62" s="210" t="s">
        <v>607</v>
      </c>
      <c r="B62" s="240" t="s">
        <v>608</v>
      </c>
      <c r="C62" s="242"/>
      <c r="D62" s="242"/>
      <c r="E62" s="242"/>
      <c r="F62" s="242"/>
      <c r="G62" s="242"/>
      <c r="H62" s="242"/>
      <c r="I62" s="242"/>
      <c r="J62" s="242"/>
      <c r="K62" s="242"/>
      <c r="L62" s="242"/>
      <c r="M62" s="243"/>
      <c r="N62" s="244"/>
      <c r="O62" s="208"/>
      <c r="P62" s="208"/>
      <c r="Q62" s="208"/>
      <c r="R62" s="208"/>
      <c r="S62" s="208"/>
      <c r="T62" s="208"/>
      <c r="U62" s="208"/>
      <c r="V62" s="208"/>
      <c r="W62" s="210" t="s">
        <v>472</v>
      </c>
      <c r="X62" s="211" t="s">
        <v>609</v>
      </c>
      <c r="Y62" s="202"/>
      <c r="Z62" s="198"/>
      <c r="AA62" s="199"/>
      <c r="AE62" s="196"/>
    </row>
    <row r="63" spans="1:31" ht="36" customHeight="1">
      <c r="A63" s="210" t="s">
        <v>610</v>
      </c>
      <c r="B63" s="240" t="s">
        <v>611</v>
      </c>
      <c r="C63" s="208"/>
      <c r="D63" s="209"/>
      <c r="E63" s="209"/>
      <c r="F63" s="209"/>
      <c r="G63" s="209"/>
      <c r="H63" s="209"/>
      <c r="I63" s="209"/>
      <c r="J63" s="209"/>
      <c r="K63" s="209"/>
      <c r="L63" s="209"/>
      <c r="M63" s="209"/>
      <c r="N63" s="209"/>
      <c r="O63" s="208"/>
      <c r="P63" s="208"/>
      <c r="Q63" s="208"/>
      <c r="R63" s="208"/>
      <c r="S63" s="208"/>
      <c r="T63" s="208"/>
      <c r="U63" s="208"/>
      <c r="V63" s="208"/>
      <c r="W63" s="210" t="s">
        <v>472</v>
      </c>
      <c r="X63" s="211" t="s">
        <v>612</v>
      </c>
      <c r="Y63" s="202"/>
      <c r="Z63" s="198"/>
      <c r="AA63" s="199"/>
      <c r="AE63" s="196"/>
    </row>
    <row r="64" spans="1:31" ht="21.75" customHeight="1">
      <c r="A64" s="210"/>
      <c r="B64" s="990" t="s">
        <v>613</v>
      </c>
      <c r="C64" s="935"/>
      <c r="D64" s="935"/>
      <c r="E64" s="935"/>
      <c r="F64" s="935"/>
      <c r="G64" s="935"/>
      <c r="H64" s="935"/>
      <c r="I64" s="935"/>
      <c r="J64" s="935"/>
      <c r="K64" s="935"/>
      <c r="L64" s="935"/>
      <c r="M64" s="935"/>
      <c r="N64" s="935"/>
      <c r="O64" s="935"/>
      <c r="P64" s="935"/>
      <c r="Q64" s="935"/>
      <c r="R64" s="935"/>
      <c r="S64" s="935"/>
      <c r="T64" s="935"/>
      <c r="U64" s="935"/>
      <c r="V64" s="935"/>
      <c r="W64" s="935"/>
      <c r="X64" s="987"/>
      <c r="Y64" s="245">
        <f>302924.876</f>
        <v>302924.87599999999</v>
      </c>
      <c r="Z64" s="198"/>
      <c r="AA64" s="199"/>
      <c r="AB64" s="196">
        <f>302924.876</f>
        <v>302924.87599999999</v>
      </c>
      <c r="AC64" s="196"/>
      <c r="AD64" s="196"/>
      <c r="AE64" s="246">
        <f>Y64/Y116</f>
        <v>0.2173913041294136</v>
      </c>
    </row>
    <row r="65" spans="1:31" ht="52.5" customHeight="1">
      <c r="A65" s="210" t="s">
        <v>614</v>
      </c>
      <c r="B65" s="191" t="s">
        <v>615</v>
      </c>
      <c r="C65" s="208"/>
      <c r="D65" s="208"/>
      <c r="E65" s="208"/>
      <c r="F65" s="208"/>
      <c r="G65" s="208"/>
      <c r="H65" s="217"/>
      <c r="I65" s="217"/>
      <c r="J65" s="217"/>
      <c r="K65" s="217"/>
      <c r="L65" s="217"/>
      <c r="M65" s="217"/>
      <c r="N65" s="217"/>
      <c r="O65" s="217"/>
      <c r="P65" s="217"/>
      <c r="Q65" s="217"/>
      <c r="R65" s="217"/>
      <c r="S65" s="217"/>
      <c r="T65" s="217"/>
      <c r="U65" s="217"/>
      <c r="V65" s="217"/>
      <c r="W65" s="220"/>
      <c r="X65" s="247"/>
      <c r="Y65" s="213"/>
      <c r="Z65" s="198"/>
      <c r="AA65" s="199"/>
      <c r="AE65" s="196"/>
    </row>
    <row r="66" spans="1:31" ht="36" customHeight="1">
      <c r="A66" s="210" t="s">
        <v>616</v>
      </c>
      <c r="B66" s="231" t="s">
        <v>617</v>
      </c>
      <c r="C66" s="209"/>
      <c r="D66" s="209"/>
      <c r="E66" s="209"/>
      <c r="F66" s="209"/>
      <c r="G66" s="209"/>
      <c r="H66" s="209"/>
      <c r="I66" s="209"/>
      <c r="J66" s="209"/>
      <c r="K66" s="209"/>
      <c r="L66" s="209"/>
      <c r="M66" s="209"/>
      <c r="N66" s="209"/>
      <c r="O66" s="208"/>
      <c r="P66" s="208"/>
      <c r="Q66" s="208"/>
      <c r="R66" s="208"/>
      <c r="S66" s="208"/>
      <c r="T66" s="208"/>
      <c r="U66" s="208"/>
      <c r="V66" s="208"/>
      <c r="W66" s="210" t="s">
        <v>472</v>
      </c>
      <c r="X66" s="211" t="s">
        <v>618</v>
      </c>
      <c r="Y66" s="202"/>
      <c r="Z66" s="198"/>
      <c r="AA66" s="199"/>
      <c r="AE66" s="196"/>
    </row>
    <row r="67" spans="1:31" ht="63" customHeight="1">
      <c r="A67" s="210" t="s">
        <v>619</v>
      </c>
      <c r="B67" s="231" t="s">
        <v>620</v>
      </c>
      <c r="C67" s="217"/>
      <c r="D67" s="217"/>
      <c r="E67" s="217"/>
      <c r="F67" s="209"/>
      <c r="G67" s="209"/>
      <c r="H67" s="209"/>
      <c r="I67" s="209"/>
      <c r="J67" s="217"/>
      <c r="K67" s="217"/>
      <c r="L67" s="217"/>
      <c r="M67" s="217"/>
      <c r="N67" s="217"/>
      <c r="O67" s="208"/>
      <c r="P67" s="208"/>
      <c r="Q67" s="208"/>
      <c r="R67" s="208"/>
      <c r="S67" s="208"/>
      <c r="T67" s="208"/>
      <c r="U67" s="208"/>
      <c r="V67" s="208"/>
      <c r="W67" s="210" t="s">
        <v>472</v>
      </c>
      <c r="X67" s="211" t="s">
        <v>621</v>
      </c>
      <c r="Y67" s="202"/>
      <c r="Z67" s="198"/>
      <c r="AA67" s="199"/>
      <c r="AE67" s="196"/>
    </row>
    <row r="68" spans="1:31" ht="60.75" customHeight="1">
      <c r="A68" s="210" t="s">
        <v>622</v>
      </c>
      <c r="B68" s="231" t="s">
        <v>623</v>
      </c>
      <c r="C68" s="217"/>
      <c r="D68" s="217"/>
      <c r="E68" s="217"/>
      <c r="F68" s="209"/>
      <c r="G68" s="209"/>
      <c r="H68" s="209"/>
      <c r="I68" s="217"/>
      <c r="J68" s="217"/>
      <c r="K68" s="217"/>
      <c r="L68" s="217"/>
      <c r="M68" s="217"/>
      <c r="N68" s="217"/>
      <c r="O68" s="208"/>
      <c r="P68" s="208"/>
      <c r="Q68" s="208"/>
      <c r="R68" s="208"/>
      <c r="S68" s="208"/>
      <c r="T68" s="208"/>
      <c r="U68" s="208"/>
      <c r="V68" s="208"/>
      <c r="W68" s="210" t="s">
        <v>472</v>
      </c>
      <c r="X68" s="211" t="s">
        <v>524</v>
      </c>
      <c r="Y68" s="202"/>
      <c r="Z68" s="198"/>
      <c r="AA68" s="199"/>
      <c r="AE68" s="196"/>
    </row>
    <row r="69" spans="1:31" ht="36" hidden="1" customHeight="1">
      <c r="A69" s="210"/>
      <c r="B69" s="231"/>
      <c r="C69" s="208"/>
      <c r="D69" s="208"/>
      <c r="E69" s="208"/>
      <c r="F69" s="208"/>
      <c r="G69" s="208"/>
      <c r="H69" s="208"/>
      <c r="I69" s="217"/>
      <c r="J69" s="217"/>
      <c r="K69" s="217"/>
      <c r="L69" s="217"/>
      <c r="M69" s="208"/>
      <c r="N69" s="208"/>
      <c r="O69" s="208"/>
      <c r="P69" s="208"/>
      <c r="Q69" s="208"/>
      <c r="R69" s="208"/>
      <c r="S69" s="208"/>
      <c r="T69" s="208"/>
      <c r="U69" s="208"/>
      <c r="V69" s="208"/>
      <c r="W69" s="210"/>
      <c r="X69" s="211"/>
      <c r="Y69" s="202"/>
      <c r="Z69" s="198"/>
      <c r="AA69" s="199"/>
      <c r="AE69" s="196"/>
    </row>
    <row r="70" spans="1:31" ht="60" customHeight="1">
      <c r="A70" s="210" t="s">
        <v>624</v>
      </c>
      <c r="B70" s="191" t="s">
        <v>625</v>
      </c>
      <c r="C70" s="208"/>
      <c r="D70" s="208"/>
      <c r="E70" s="208"/>
      <c r="F70" s="208"/>
      <c r="G70" s="217"/>
      <c r="H70" s="217"/>
      <c r="I70" s="217"/>
      <c r="J70" s="217"/>
      <c r="K70" s="217"/>
      <c r="L70" s="217"/>
      <c r="M70" s="208"/>
      <c r="N70" s="208"/>
      <c r="O70" s="208"/>
      <c r="P70" s="208"/>
      <c r="Q70" s="208"/>
      <c r="R70" s="208"/>
      <c r="S70" s="208"/>
      <c r="T70" s="208"/>
      <c r="U70" s="208"/>
      <c r="V70" s="208"/>
      <c r="W70" s="210"/>
      <c r="X70" s="211"/>
      <c r="Y70" s="202"/>
      <c r="Z70" s="198"/>
      <c r="AA70" s="199"/>
      <c r="AE70" s="196"/>
    </row>
    <row r="71" spans="1:31" ht="52.5" customHeight="1">
      <c r="A71" s="210" t="s">
        <v>626</v>
      </c>
      <c r="B71" s="190" t="s">
        <v>627</v>
      </c>
      <c r="C71" s="208"/>
      <c r="D71" s="208"/>
      <c r="E71" s="209"/>
      <c r="F71" s="209"/>
      <c r="G71" s="209"/>
      <c r="H71" s="209"/>
      <c r="I71" s="209"/>
      <c r="J71" s="217"/>
      <c r="K71" s="217"/>
      <c r="L71" s="209"/>
      <c r="M71" s="209"/>
      <c r="N71" s="209"/>
      <c r="O71" s="208"/>
      <c r="P71" s="208"/>
      <c r="Q71" s="208"/>
      <c r="R71" s="208"/>
      <c r="S71" s="208"/>
      <c r="T71" s="208"/>
      <c r="U71" s="208"/>
      <c r="V71" s="208"/>
      <c r="W71" s="210" t="s">
        <v>472</v>
      </c>
      <c r="X71" s="211" t="s">
        <v>628</v>
      </c>
      <c r="Y71" s="202"/>
      <c r="Z71" s="198"/>
      <c r="AA71" s="199"/>
      <c r="AE71" s="196"/>
    </row>
    <row r="72" spans="1:31" ht="34.5" customHeight="1">
      <c r="A72" s="210" t="s">
        <v>629</v>
      </c>
      <c r="B72" s="190" t="s">
        <v>630</v>
      </c>
      <c r="C72" s="209"/>
      <c r="D72" s="209"/>
      <c r="E72" s="209"/>
      <c r="F72" s="209"/>
      <c r="G72" s="209"/>
      <c r="H72" s="209"/>
      <c r="I72" s="209"/>
      <c r="J72" s="209"/>
      <c r="K72" s="209"/>
      <c r="L72" s="209"/>
      <c r="M72" s="209"/>
      <c r="N72" s="209"/>
      <c r="O72" s="208"/>
      <c r="P72" s="208"/>
      <c r="Q72" s="208"/>
      <c r="R72" s="208"/>
      <c r="S72" s="208"/>
      <c r="T72" s="208"/>
      <c r="U72" s="208"/>
      <c r="V72" s="208"/>
      <c r="W72" s="210" t="s">
        <v>472</v>
      </c>
      <c r="X72" s="211" t="s">
        <v>631</v>
      </c>
      <c r="Y72" s="202"/>
      <c r="Z72" s="198"/>
      <c r="AA72" s="199"/>
      <c r="AE72" s="196"/>
    </row>
    <row r="73" spans="1:31" ht="29.25" customHeight="1">
      <c r="A73" s="210" t="s">
        <v>632</v>
      </c>
      <c r="B73" s="190" t="s">
        <v>633</v>
      </c>
      <c r="C73" s="209"/>
      <c r="D73" s="209"/>
      <c r="E73" s="209"/>
      <c r="F73" s="209"/>
      <c r="G73" s="209"/>
      <c r="H73" s="209"/>
      <c r="I73" s="209"/>
      <c r="J73" s="209"/>
      <c r="K73" s="209"/>
      <c r="L73" s="209"/>
      <c r="M73" s="209"/>
      <c r="N73" s="209"/>
      <c r="O73" s="208"/>
      <c r="P73" s="208"/>
      <c r="Q73" s="208"/>
      <c r="R73" s="208"/>
      <c r="S73" s="208"/>
      <c r="T73" s="208"/>
      <c r="U73" s="208"/>
      <c r="V73" s="208"/>
      <c r="W73" s="210" t="s">
        <v>472</v>
      </c>
      <c r="X73" s="211" t="s">
        <v>634</v>
      </c>
      <c r="Y73" s="202"/>
      <c r="Z73" s="198"/>
      <c r="AA73" s="199"/>
      <c r="AE73" s="196"/>
    </row>
    <row r="74" spans="1:31" ht="36" hidden="1" customHeight="1">
      <c r="A74" s="210"/>
      <c r="B74" s="231"/>
      <c r="C74" s="208"/>
      <c r="D74" s="208"/>
      <c r="E74" s="208"/>
      <c r="F74" s="217"/>
      <c r="G74" s="217"/>
      <c r="H74" s="217"/>
      <c r="I74" s="217"/>
      <c r="J74" s="217"/>
      <c r="K74" s="217"/>
      <c r="L74" s="208"/>
      <c r="M74" s="208"/>
      <c r="N74" s="208"/>
      <c r="O74" s="208"/>
      <c r="P74" s="208"/>
      <c r="Q74" s="208"/>
      <c r="R74" s="208"/>
      <c r="S74" s="208"/>
      <c r="T74" s="208"/>
      <c r="U74" s="208"/>
      <c r="V74" s="208"/>
      <c r="W74" s="210"/>
      <c r="X74" s="211"/>
      <c r="Y74" s="202"/>
      <c r="Z74" s="198"/>
      <c r="AA74" s="199"/>
      <c r="AE74" s="196"/>
    </row>
    <row r="75" spans="1:31" ht="65.25" customHeight="1">
      <c r="A75" s="210" t="s">
        <v>635</v>
      </c>
      <c r="B75" s="225" t="s">
        <v>636</v>
      </c>
      <c r="C75" s="208"/>
      <c r="D75" s="208"/>
      <c r="E75" s="208"/>
      <c r="F75" s="217"/>
      <c r="G75" s="217"/>
      <c r="H75" s="217"/>
      <c r="I75" s="217"/>
      <c r="J75" s="217"/>
      <c r="K75" s="217"/>
      <c r="L75" s="208"/>
      <c r="M75" s="208"/>
      <c r="N75" s="208"/>
      <c r="O75" s="208"/>
      <c r="P75" s="208"/>
      <c r="Q75" s="208"/>
      <c r="R75" s="208"/>
      <c r="S75" s="208"/>
      <c r="T75" s="208"/>
      <c r="U75" s="208"/>
      <c r="V75" s="208"/>
      <c r="W75" s="210" t="s">
        <v>472</v>
      </c>
      <c r="X75" s="211" t="s">
        <v>637</v>
      </c>
      <c r="Y75" s="202"/>
      <c r="Z75" s="198"/>
      <c r="AA75" s="199"/>
      <c r="AE75" s="196"/>
    </row>
    <row r="76" spans="1:31" ht="58.5" customHeight="1">
      <c r="A76" s="210" t="s">
        <v>616</v>
      </c>
      <c r="B76" s="231" t="s">
        <v>638</v>
      </c>
      <c r="C76" s="208"/>
      <c r="D76" s="209"/>
      <c r="E76" s="209"/>
      <c r="F76" s="209"/>
      <c r="G76" s="209"/>
      <c r="H76" s="209"/>
      <c r="I76" s="217"/>
      <c r="J76" s="217"/>
      <c r="K76" s="209"/>
      <c r="L76" s="209"/>
      <c r="M76" s="209"/>
      <c r="N76" s="209"/>
      <c r="O76" s="208"/>
      <c r="P76" s="208"/>
      <c r="Q76" s="208"/>
      <c r="R76" s="208"/>
      <c r="S76" s="208"/>
      <c r="T76" s="208"/>
      <c r="U76" s="208"/>
      <c r="V76" s="208"/>
      <c r="W76" s="210" t="s">
        <v>472</v>
      </c>
      <c r="X76" s="211" t="s">
        <v>603</v>
      </c>
      <c r="Y76" s="202"/>
      <c r="Z76" s="198"/>
      <c r="AA76" s="199"/>
      <c r="AE76" s="196"/>
    </row>
    <row r="77" spans="1:31" ht="47.25" customHeight="1">
      <c r="A77" s="210" t="s">
        <v>619</v>
      </c>
      <c r="B77" s="231" t="s">
        <v>639</v>
      </c>
      <c r="C77" s="209"/>
      <c r="D77" s="209"/>
      <c r="E77" s="209"/>
      <c r="F77" s="209"/>
      <c r="G77" s="209"/>
      <c r="H77" s="209"/>
      <c r="I77" s="209"/>
      <c r="J77" s="209"/>
      <c r="K77" s="209"/>
      <c r="L77" s="209"/>
      <c r="M77" s="209"/>
      <c r="N77" s="209"/>
      <c r="O77" s="208"/>
      <c r="P77" s="208"/>
      <c r="Q77" s="208"/>
      <c r="R77" s="208"/>
      <c r="S77" s="208"/>
      <c r="T77" s="208"/>
      <c r="U77" s="208"/>
      <c r="V77" s="208"/>
      <c r="W77" s="210" t="s">
        <v>472</v>
      </c>
      <c r="X77" s="211" t="s">
        <v>570</v>
      </c>
      <c r="Y77" s="202"/>
      <c r="Z77" s="198"/>
      <c r="AA77" s="199"/>
      <c r="AE77" s="196"/>
    </row>
    <row r="78" spans="1:31" ht="32.25" hidden="1" customHeight="1">
      <c r="A78" s="210"/>
      <c r="B78" s="225"/>
      <c r="C78" s="208"/>
      <c r="D78" s="208"/>
      <c r="E78" s="208"/>
      <c r="F78" s="208"/>
      <c r="G78" s="217"/>
      <c r="H78" s="217"/>
      <c r="I78" s="217"/>
      <c r="J78" s="217"/>
      <c r="K78" s="208"/>
      <c r="L78" s="208"/>
      <c r="M78" s="208"/>
      <c r="N78" s="208"/>
      <c r="O78" s="208"/>
      <c r="P78" s="208"/>
      <c r="Q78" s="208"/>
      <c r="R78" s="208"/>
      <c r="S78" s="208"/>
      <c r="T78" s="208"/>
      <c r="U78" s="208"/>
      <c r="V78" s="208"/>
      <c r="W78" s="210"/>
      <c r="X78" s="211"/>
      <c r="Y78" s="202"/>
      <c r="Z78" s="198"/>
      <c r="AA78" s="199"/>
      <c r="AE78" s="196"/>
    </row>
    <row r="79" spans="1:31" ht="60" customHeight="1">
      <c r="A79" s="210" t="s">
        <v>640</v>
      </c>
      <c r="B79" s="225" t="s">
        <v>641</v>
      </c>
      <c r="C79" s="208"/>
      <c r="D79" s="217"/>
      <c r="E79" s="217"/>
      <c r="F79" s="217"/>
      <c r="G79" s="217"/>
      <c r="H79" s="217"/>
      <c r="I79" s="217"/>
      <c r="J79" s="217"/>
      <c r="K79" s="217"/>
      <c r="L79" s="217"/>
      <c r="M79" s="217"/>
      <c r="N79" s="217"/>
      <c r="O79" s="217"/>
      <c r="P79" s="217"/>
      <c r="Q79" s="217"/>
      <c r="R79" s="217"/>
      <c r="S79" s="217"/>
      <c r="T79" s="217"/>
      <c r="U79" s="217"/>
      <c r="V79" s="217"/>
      <c r="W79" s="220"/>
      <c r="X79" s="211"/>
      <c r="Y79" s="202"/>
      <c r="Z79" s="198"/>
      <c r="AA79" s="199"/>
      <c r="AE79" s="196"/>
    </row>
    <row r="80" spans="1:31" ht="21.75" customHeight="1">
      <c r="A80" s="210" t="s">
        <v>642</v>
      </c>
      <c r="B80" s="231" t="s">
        <v>643</v>
      </c>
      <c r="C80" s="208"/>
      <c r="D80" s="208"/>
      <c r="E80" s="208"/>
      <c r="F80" s="209"/>
      <c r="G80" s="209"/>
      <c r="H80" s="209"/>
      <c r="I80" s="209"/>
      <c r="J80" s="217"/>
      <c r="K80" s="217"/>
      <c r="L80" s="217"/>
      <c r="M80" s="209"/>
      <c r="N80" s="209"/>
      <c r="O80" s="208"/>
      <c r="P80" s="208"/>
      <c r="Q80" s="208"/>
      <c r="R80" s="208"/>
      <c r="S80" s="208"/>
      <c r="T80" s="208"/>
      <c r="U80" s="208"/>
      <c r="V80" s="208"/>
      <c r="W80" s="210" t="s">
        <v>472</v>
      </c>
      <c r="X80" s="211" t="s">
        <v>644</v>
      </c>
      <c r="Y80" s="202"/>
      <c r="Z80" s="198"/>
      <c r="AA80" s="199"/>
      <c r="AE80" s="196"/>
    </row>
    <row r="81" spans="1:31" ht="49.5" customHeight="1">
      <c r="A81" s="210" t="s">
        <v>645</v>
      </c>
      <c r="B81" s="231" t="s">
        <v>646</v>
      </c>
      <c r="C81" s="208"/>
      <c r="D81" s="208"/>
      <c r="E81" s="208"/>
      <c r="F81" s="208"/>
      <c r="G81" s="208"/>
      <c r="H81" s="208"/>
      <c r="I81" s="208"/>
      <c r="J81" s="217"/>
      <c r="K81" s="217"/>
      <c r="L81" s="208"/>
      <c r="M81" s="208"/>
      <c r="N81" s="209"/>
      <c r="O81" s="208"/>
      <c r="P81" s="208"/>
      <c r="Q81" s="208"/>
      <c r="R81" s="208"/>
      <c r="S81" s="208"/>
      <c r="T81" s="208"/>
      <c r="U81" s="208"/>
      <c r="V81" s="208"/>
      <c r="W81" s="210" t="s">
        <v>518</v>
      </c>
      <c r="X81" s="211" t="s">
        <v>647</v>
      </c>
      <c r="Y81" s="202"/>
      <c r="Z81" s="198"/>
      <c r="AA81" s="199"/>
      <c r="AE81" s="196"/>
    </row>
    <row r="82" spans="1:31" ht="48" customHeight="1">
      <c r="A82" s="210" t="s">
        <v>648</v>
      </c>
      <c r="B82" s="231" t="s">
        <v>649</v>
      </c>
      <c r="C82" s="208"/>
      <c r="D82" s="208"/>
      <c r="E82" s="209"/>
      <c r="F82" s="209"/>
      <c r="G82" s="209"/>
      <c r="H82" s="209"/>
      <c r="I82" s="209"/>
      <c r="J82" s="209"/>
      <c r="K82" s="209"/>
      <c r="L82" s="209"/>
      <c r="M82" s="209"/>
      <c r="N82" s="217"/>
      <c r="O82" s="208"/>
      <c r="P82" s="208"/>
      <c r="Q82" s="208"/>
      <c r="R82" s="208"/>
      <c r="S82" s="208"/>
      <c r="T82" s="208"/>
      <c r="U82" s="208"/>
      <c r="V82" s="208"/>
      <c r="W82" s="210" t="s">
        <v>472</v>
      </c>
      <c r="X82" s="211" t="s">
        <v>650</v>
      </c>
      <c r="Y82" s="202"/>
      <c r="Z82" s="198"/>
      <c r="AA82" s="199"/>
      <c r="AE82" s="196"/>
    </row>
    <row r="83" spans="1:31" ht="50.25" customHeight="1">
      <c r="A83" s="210" t="s">
        <v>651</v>
      </c>
      <c r="B83" s="190" t="s">
        <v>652</v>
      </c>
      <c r="C83" s="209"/>
      <c r="D83" s="209"/>
      <c r="E83" s="209"/>
      <c r="F83" s="209"/>
      <c r="G83" s="209"/>
      <c r="H83" s="209"/>
      <c r="I83" s="209"/>
      <c r="J83" s="209"/>
      <c r="K83" s="209"/>
      <c r="L83" s="209"/>
      <c r="M83" s="209"/>
      <c r="N83" s="209"/>
      <c r="O83" s="208"/>
      <c r="P83" s="208"/>
      <c r="Q83" s="208"/>
      <c r="R83" s="208"/>
      <c r="S83" s="208"/>
      <c r="T83" s="208"/>
      <c r="U83" s="208"/>
      <c r="V83" s="208"/>
      <c r="W83" s="210" t="s">
        <v>472</v>
      </c>
      <c r="X83" s="211" t="s">
        <v>653</v>
      </c>
      <c r="Y83" s="202"/>
      <c r="Z83" s="198"/>
      <c r="AA83" s="199"/>
      <c r="AE83" s="196"/>
    </row>
    <row r="84" spans="1:31" ht="49.5" customHeight="1">
      <c r="A84" s="210" t="s">
        <v>654</v>
      </c>
      <c r="B84" s="225" t="s">
        <v>655</v>
      </c>
      <c r="C84" s="208"/>
      <c r="D84" s="208"/>
      <c r="E84" s="208"/>
      <c r="F84" s="208"/>
      <c r="G84" s="208"/>
      <c r="H84" s="208"/>
      <c r="I84" s="208"/>
      <c r="J84" s="208"/>
      <c r="K84" s="208"/>
      <c r="L84" s="208"/>
      <c r="M84" s="217"/>
      <c r="N84" s="217"/>
      <c r="O84" s="208"/>
      <c r="P84" s="208"/>
      <c r="Q84" s="208"/>
      <c r="R84" s="208"/>
      <c r="S84" s="208"/>
      <c r="T84" s="208"/>
      <c r="U84" s="208"/>
      <c r="V84" s="208"/>
      <c r="W84" s="210"/>
      <c r="X84" s="211"/>
      <c r="Y84" s="202"/>
      <c r="Z84" s="198"/>
      <c r="AA84" s="199"/>
      <c r="AE84" s="196"/>
    </row>
    <row r="85" spans="1:31" ht="44.25" customHeight="1">
      <c r="A85" s="210" t="s">
        <v>656</v>
      </c>
      <c r="B85" s="190" t="s">
        <v>657</v>
      </c>
      <c r="C85" s="209"/>
      <c r="D85" s="209"/>
      <c r="E85" s="208"/>
      <c r="F85" s="208"/>
      <c r="G85" s="208"/>
      <c r="H85" s="208"/>
      <c r="I85" s="208"/>
      <c r="J85" s="209"/>
      <c r="K85" s="209"/>
      <c r="L85" s="209"/>
      <c r="M85" s="217"/>
      <c r="N85" s="217"/>
      <c r="O85" s="208"/>
      <c r="P85" s="208"/>
      <c r="Q85" s="208"/>
      <c r="R85" s="208"/>
      <c r="S85" s="208"/>
      <c r="T85" s="208"/>
      <c r="U85" s="208"/>
      <c r="V85" s="208"/>
      <c r="W85" s="210" t="s">
        <v>472</v>
      </c>
      <c r="X85" s="211" t="s">
        <v>609</v>
      </c>
      <c r="Y85" s="202"/>
      <c r="Z85" s="198"/>
      <c r="AA85" s="199"/>
      <c r="AE85" s="196"/>
    </row>
    <row r="86" spans="1:31" ht="51.75" customHeight="1">
      <c r="A86" s="210" t="s">
        <v>658</v>
      </c>
      <c r="B86" s="190" t="s">
        <v>659</v>
      </c>
      <c r="C86" s="208"/>
      <c r="D86" s="208"/>
      <c r="E86" s="208"/>
      <c r="F86" s="209"/>
      <c r="G86" s="209"/>
      <c r="H86" s="209"/>
      <c r="I86" s="208"/>
      <c r="J86" s="209"/>
      <c r="K86" s="209"/>
      <c r="L86" s="209"/>
      <c r="M86" s="209"/>
      <c r="N86" s="217"/>
      <c r="O86" s="208"/>
      <c r="P86" s="208"/>
      <c r="Q86" s="208"/>
      <c r="R86" s="208"/>
      <c r="S86" s="208"/>
      <c r="T86" s="208"/>
      <c r="U86" s="208"/>
      <c r="V86" s="208"/>
      <c r="W86" s="210" t="s">
        <v>472</v>
      </c>
      <c r="X86" s="211" t="s">
        <v>566</v>
      </c>
      <c r="Y86" s="202"/>
      <c r="Z86" s="198"/>
      <c r="AA86" s="199"/>
      <c r="AE86" s="196"/>
    </row>
    <row r="87" spans="1:31" ht="44.25" customHeight="1">
      <c r="A87" s="210" t="s">
        <v>660</v>
      </c>
      <c r="B87" s="190" t="s">
        <v>661</v>
      </c>
      <c r="C87" s="208"/>
      <c r="D87" s="208"/>
      <c r="E87" s="208"/>
      <c r="F87" s="208"/>
      <c r="G87" s="208"/>
      <c r="H87" s="209"/>
      <c r="I87" s="209"/>
      <c r="J87" s="209"/>
      <c r="K87" s="209"/>
      <c r="L87" s="209"/>
      <c r="M87" s="217"/>
      <c r="N87" s="217"/>
      <c r="O87" s="208"/>
      <c r="P87" s="208"/>
      <c r="Q87" s="208"/>
      <c r="R87" s="208"/>
      <c r="S87" s="208"/>
      <c r="T87" s="208"/>
      <c r="U87" s="208"/>
      <c r="V87" s="208"/>
      <c r="W87" s="210" t="s">
        <v>472</v>
      </c>
      <c r="X87" s="211" t="s">
        <v>612</v>
      </c>
      <c r="Y87" s="202"/>
      <c r="Z87" s="198"/>
      <c r="AA87" s="199"/>
      <c r="AE87" s="196"/>
    </row>
    <row r="88" spans="1:31" ht="33.75" customHeight="1">
      <c r="A88" s="210"/>
      <c r="B88" s="991" t="s">
        <v>662</v>
      </c>
      <c r="C88" s="935"/>
      <c r="D88" s="935"/>
      <c r="E88" s="935"/>
      <c r="F88" s="935"/>
      <c r="G88" s="935"/>
      <c r="H88" s="935"/>
      <c r="I88" s="935"/>
      <c r="J88" s="935"/>
      <c r="K88" s="935"/>
      <c r="L88" s="935"/>
      <c r="M88" s="935"/>
      <c r="N88" s="935"/>
      <c r="O88" s="935"/>
      <c r="P88" s="935"/>
      <c r="Q88" s="935"/>
      <c r="R88" s="935"/>
      <c r="S88" s="935"/>
      <c r="T88" s="935"/>
      <c r="U88" s="935"/>
      <c r="V88" s="935"/>
      <c r="W88" s="935"/>
      <c r="X88" s="987"/>
      <c r="Y88" s="215">
        <f>242339.901</f>
        <v>242339.90100000001</v>
      </c>
      <c r="Z88" s="198"/>
      <c r="AA88" s="199"/>
      <c r="AB88" s="248">
        <f>242339.901</f>
        <v>242339.90100000001</v>
      </c>
      <c r="AE88" s="216">
        <f>Y88/Y116</f>
        <v>0.17391304344705907</v>
      </c>
    </row>
    <row r="89" spans="1:31" ht="49.5" customHeight="1">
      <c r="A89" s="241" t="s">
        <v>663</v>
      </c>
      <c r="B89" s="225" t="s">
        <v>664</v>
      </c>
      <c r="C89" s="191"/>
      <c r="D89" s="191"/>
      <c r="E89" s="191"/>
      <c r="F89" s="191"/>
      <c r="G89" s="217"/>
      <c r="H89" s="217"/>
      <c r="I89" s="217"/>
      <c r="J89" s="217"/>
      <c r="K89" s="191"/>
      <c r="L89" s="191"/>
      <c r="M89" s="191"/>
      <c r="N89" s="191"/>
      <c r="O89" s="191"/>
      <c r="P89" s="191"/>
      <c r="Q89" s="191"/>
      <c r="R89" s="191"/>
      <c r="S89" s="191"/>
      <c r="T89" s="191"/>
      <c r="U89" s="191"/>
      <c r="V89" s="191"/>
      <c r="W89" s="210"/>
      <c r="X89" s="211"/>
      <c r="Y89" s="202"/>
      <c r="Z89" s="198"/>
      <c r="AA89" s="249"/>
      <c r="AB89" s="250"/>
      <c r="AC89" s="250"/>
      <c r="AD89" s="250"/>
      <c r="AE89" s="250"/>
    </row>
    <row r="90" spans="1:31" ht="63" customHeight="1">
      <c r="A90" s="210" t="s">
        <v>665</v>
      </c>
      <c r="B90" s="190" t="s">
        <v>666</v>
      </c>
      <c r="C90" s="251"/>
      <c r="D90" s="251"/>
      <c r="E90" s="251"/>
      <c r="F90" s="251"/>
      <c r="G90" s="251"/>
      <c r="H90" s="251"/>
      <c r="I90" s="251"/>
      <c r="J90" s="251"/>
      <c r="K90" s="252"/>
      <c r="L90" s="252"/>
      <c r="M90" s="252"/>
      <c r="N90" s="252"/>
      <c r="O90" s="191"/>
      <c r="P90" s="191"/>
      <c r="Q90" s="191"/>
      <c r="R90" s="191"/>
      <c r="S90" s="191"/>
      <c r="T90" s="191"/>
      <c r="U90" s="191"/>
      <c r="V90" s="191"/>
      <c r="W90" s="210" t="s">
        <v>667</v>
      </c>
      <c r="X90" s="211" t="s">
        <v>668</v>
      </c>
      <c r="Y90" s="202"/>
      <c r="Z90" s="198"/>
      <c r="AA90" s="199"/>
      <c r="AE90" s="196"/>
    </row>
    <row r="91" spans="1:31" ht="76.5" customHeight="1">
      <c r="A91" s="210" t="s">
        <v>669</v>
      </c>
      <c r="B91" s="190" t="s">
        <v>670</v>
      </c>
      <c r="C91" s="251"/>
      <c r="D91" s="251"/>
      <c r="E91" s="251"/>
      <c r="F91" s="251"/>
      <c r="G91" s="251"/>
      <c r="H91" s="251"/>
      <c r="I91" s="251"/>
      <c r="J91" s="251"/>
      <c r="K91" s="251"/>
      <c r="L91" s="251"/>
      <c r="M91" s="251"/>
      <c r="N91" s="251"/>
      <c r="O91" s="191"/>
      <c r="P91" s="191"/>
      <c r="Q91" s="191"/>
      <c r="R91" s="191"/>
      <c r="S91" s="191"/>
      <c r="T91" s="191"/>
      <c r="U91" s="191"/>
      <c r="V91" s="191"/>
      <c r="W91" s="210" t="s">
        <v>472</v>
      </c>
      <c r="X91" s="211" t="s">
        <v>671</v>
      </c>
      <c r="Y91" s="202"/>
      <c r="Z91" s="198"/>
      <c r="AA91" s="199"/>
      <c r="AE91" s="196"/>
    </row>
    <row r="92" spans="1:31" ht="102" customHeight="1">
      <c r="A92" s="210" t="s">
        <v>672</v>
      </c>
      <c r="B92" s="190" t="s">
        <v>673</v>
      </c>
      <c r="C92" s="191"/>
      <c r="D92" s="251"/>
      <c r="E92" s="251"/>
      <c r="F92" s="251"/>
      <c r="G92" s="251"/>
      <c r="H92" s="251"/>
      <c r="I92" s="251"/>
      <c r="J92" s="251"/>
      <c r="K92" s="251"/>
      <c r="L92" s="251"/>
      <c r="M92" s="251"/>
      <c r="N92" s="251"/>
      <c r="O92" s="191"/>
      <c r="P92" s="191"/>
      <c r="Q92" s="191"/>
      <c r="R92" s="191"/>
      <c r="S92" s="191"/>
      <c r="T92" s="191"/>
      <c r="U92" s="191"/>
      <c r="V92" s="191"/>
      <c r="W92" s="210" t="s">
        <v>472</v>
      </c>
      <c r="X92" s="211" t="s">
        <v>674</v>
      </c>
      <c r="Y92" s="202"/>
      <c r="Z92" s="198"/>
      <c r="AA92" s="199"/>
      <c r="AE92" s="196"/>
    </row>
    <row r="93" spans="1:31" ht="34.5" customHeight="1">
      <c r="A93" s="241" t="s">
        <v>675</v>
      </c>
      <c r="B93" s="225" t="s">
        <v>676</v>
      </c>
      <c r="C93" s="191"/>
      <c r="D93" s="191"/>
      <c r="E93" s="191"/>
      <c r="F93" s="191"/>
      <c r="G93" s="191"/>
      <c r="H93" s="252"/>
      <c r="I93" s="252"/>
      <c r="J93" s="191"/>
      <c r="K93" s="252"/>
      <c r="L93" s="252"/>
      <c r="M93" s="252"/>
      <c r="N93" s="252"/>
      <c r="O93" s="191"/>
      <c r="P93" s="191"/>
      <c r="Q93" s="191"/>
      <c r="R93" s="191"/>
      <c r="S93" s="191"/>
      <c r="T93" s="191"/>
      <c r="U93" s="191"/>
      <c r="V93" s="191"/>
      <c r="W93" s="210"/>
      <c r="X93" s="211"/>
      <c r="Y93" s="202"/>
      <c r="Z93" s="198"/>
      <c r="AA93" s="199"/>
      <c r="AE93" s="196"/>
    </row>
    <row r="94" spans="1:31" ht="76.5" customHeight="1">
      <c r="A94" s="210" t="s">
        <v>677</v>
      </c>
      <c r="B94" s="190" t="s">
        <v>678</v>
      </c>
      <c r="C94" s="191"/>
      <c r="D94" s="191"/>
      <c r="E94" s="191"/>
      <c r="F94" s="251"/>
      <c r="G94" s="251"/>
      <c r="H94" s="251"/>
      <c r="I94" s="251"/>
      <c r="J94" s="251"/>
      <c r="K94" s="251"/>
      <c r="L94" s="252"/>
      <c r="M94" s="252"/>
      <c r="N94" s="251"/>
      <c r="O94" s="191"/>
      <c r="P94" s="191"/>
      <c r="Q94" s="191"/>
      <c r="R94" s="191"/>
      <c r="S94" s="191"/>
      <c r="T94" s="191"/>
      <c r="U94" s="191"/>
      <c r="V94" s="191"/>
      <c r="W94" s="210" t="s">
        <v>472</v>
      </c>
      <c r="X94" s="211" t="s">
        <v>679</v>
      </c>
      <c r="Y94" s="202"/>
      <c r="Z94" s="198"/>
      <c r="AA94" s="199"/>
      <c r="AE94" s="196"/>
    </row>
    <row r="95" spans="1:31" ht="36.75" customHeight="1">
      <c r="A95" s="241" t="s">
        <v>680</v>
      </c>
      <c r="B95" s="253" t="s">
        <v>681</v>
      </c>
      <c r="C95" s="191"/>
      <c r="D95" s="191"/>
      <c r="E95" s="191"/>
      <c r="F95" s="191"/>
      <c r="G95" s="191"/>
      <c r="H95" s="252"/>
      <c r="I95" s="252"/>
      <c r="J95" s="191"/>
      <c r="K95" s="252"/>
      <c r="L95" s="252"/>
      <c r="M95" s="252"/>
      <c r="N95" s="252"/>
      <c r="O95" s="191"/>
      <c r="P95" s="191"/>
      <c r="Q95" s="191"/>
      <c r="R95" s="191"/>
      <c r="S95" s="191"/>
      <c r="T95" s="191"/>
      <c r="U95" s="191"/>
      <c r="V95" s="191"/>
      <c r="W95" s="210"/>
      <c r="X95" s="211"/>
      <c r="Y95" s="202"/>
      <c r="Z95" s="198"/>
      <c r="AA95" s="199"/>
      <c r="AE95" s="196"/>
    </row>
    <row r="96" spans="1:31" ht="77.25" customHeight="1">
      <c r="A96" s="210" t="s">
        <v>682</v>
      </c>
      <c r="B96" s="190" t="s">
        <v>683</v>
      </c>
      <c r="C96" s="191"/>
      <c r="D96" s="191"/>
      <c r="E96" s="191"/>
      <c r="F96" s="251"/>
      <c r="G96" s="251"/>
      <c r="H96" s="251"/>
      <c r="I96" s="251"/>
      <c r="J96" s="251"/>
      <c r="K96" s="251"/>
      <c r="L96" s="252"/>
      <c r="M96" s="252"/>
      <c r="N96" s="252"/>
      <c r="O96" s="191"/>
      <c r="P96" s="191"/>
      <c r="Q96" s="191"/>
      <c r="R96" s="191"/>
      <c r="S96" s="191"/>
      <c r="T96" s="191"/>
      <c r="U96" s="191"/>
      <c r="V96" s="191"/>
      <c r="W96" s="210" t="s">
        <v>679</v>
      </c>
      <c r="X96" s="211" t="s">
        <v>472</v>
      </c>
      <c r="Y96" s="202"/>
      <c r="Z96" s="198"/>
      <c r="AA96" s="199"/>
      <c r="AE96" s="196"/>
    </row>
    <row r="97" spans="1:31" ht="88.5" hidden="1" customHeight="1">
      <c r="A97" s="210"/>
      <c r="B97" s="190"/>
      <c r="C97" s="191"/>
      <c r="D97" s="191"/>
      <c r="E97" s="191"/>
      <c r="F97" s="191"/>
      <c r="G97" s="191"/>
      <c r="H97" s="252"/>
      <c r="I97" s="191"/>
      <c r="J97" s="191"/>
      <c r="K97" s="191"/>
      <c r="L97" s="191"/>
      <c r="M97" s="191"/>
      <c r="N97" s="191"/>
      <c r="O97" s="191"/>
      <c r="P97" s="191"/>
      <c r="Q97" s="191"/>
      <c r="R97" s="191"/>
      <c r="S97" s="191"/>
      <c r="T97" s="191"/>
      <c r="U97" s="191"/>
      <c r="V97" s="191"/>
      <c r="W97" s="210"/>
      <c r="X97" s="211"/>
      <c r="Y97" s="202"/>
      <c r="Z97" s="198"/>
      <c r="AA97" s="199"/>
      <c r="AE97" s="196"/>
    </row>
    <row r="98" spans="1:31" ht="37.5" customHeight="1">
      <c r="A98" s="210" t="s">
        <v>684</v>
      </c>
      <c r="B98" s="191" t="s">
        <v>685</v>
      </c>
      <c r="C98" s="191"/>
      <c r="D98" s="191"/>
      <c r="E98" s="191"/>
      <c r="F98" s="191"/>
      <c r="G98" s="191"/>
      <c r="H98" s="217"/>
      <c r="I98" s="217"/>
      <c r="J98" s="217"/>
      <c r="K98" s="217"/>
      <c r="L98" s="252"/>
      <c r="M98" s="252"/>
      <c r="N98" s="252"/>
      <c r="O98" s="252"/>
      <c r="P98" s="252"/>
      <c r="Q98" s="252"/>
      <c r="R98" s="252"/>
      <c r="S98" s="252"/>
      <c r="T98" s="252"/>
      <c r="U98" s="252"/>
      <c r="V98" s="252"/>
      <c r="W98" s="220"/>
      <c r="X98" s="211"/>
      <c r="Y98" s="202"/>
      <c r="Z98" s="198"/>
      <c r="AA98" s="199"/>
      <c r="AE98" s="196"/>
    </row>
    <row r="99" spans="1:31" ht="45.75" customHeight="1">
      <c r="A99" s="210" t="s">
        <v>686</v>
      </c>
      <c r="B99" s="190" t="s">
        <v>687</v>
      </c>
      <c r="C99" s="191"/>
      <c r="D99" s="251"/>
      <c r="E99" s="251"/>
      <c r="F99" s="251"/>
      <c r="G99" s="251"/>
      <c r="H99" s="209"/>
      <c r="I99" s="209"/>
      <c r="J99" s="209"/>
      <c r="K99" s="209"/>
      <c r="L99" s="251"/>
      <c r="M99" s="252"/>
      <c r="N99" s="252"/>
      <c r="O99" s="252"/>
      <c r="P99" s="252"/>
      <c r="Q99" s="252"/>
      <c r="R99" s="252"/>
      <c r="S99" s="252"/>
      <c r="T99" s="252"/>
      <c r="U99" s="252"/>
      <c r="V99" s="252"/>
      <c r="W99" s="220" t="s">
        <v>472</v>
      </c>
      <c r="X99" s="211" t="s">
        <v>688</v>
      </c>
      <c r="Y99" s="202"/>
      <c r="Z99" s="198"/>
      <c r="AA99" s="199"/>
      <c r="AE99" s="196"/>
    </row>
    <row r="100" spans="1:31" ht="50.25" customHeight="1">
      <c r="A100" s="210" t="s">
        <v>689</v>
      </c>
      <c r="B100" s="190" t="s">
        <v>690</v>
      </c>
      <c r="C100" s="251"/>
      <c r="D100" s="251"/>
      <c r="E100" s="251"/>
      <c r="F100" s="251"/>
      <c r="G100" s="251"/>
      <c r="H100" s="209"/>
      <c r="I100" s="209"/>
      <c r="J100" s="209"/>
      <c r="K100" s="209"/>
      <c r="L100" s="251"/>
      <c r="M100" s="251"/>
      <c r="N100" s="252"/>
      <c r="O100" s="252"/>
      <c r="P100" s="252"/>
      <c r="Q100" s="252"/>
      <c r="R100" s="252"/>
      <c r="S100" s="252"/>
      <c r="T100" s="252"/>
      <c r="U100" s="252"/>
      <c r="V100" s="252"/>
      <c r="W100" s="220" t="s">
        <v>472</v>
      </c>
      <c r="X100" s="211" t="s">
        <v>688</v>
      </c>
      <c r="Y100" s="202"/>
      <c r="Z100" s="198"/>
      <c r="AA100" s="199"/>
      <c r="AE100" s="196"/>
    </row>
    <row r="101" spans="1:31" ht="54" customHeight="1">
      <c r="A101" s="210" t="s">
        <v>691</v>
      </c>
      <c r="B101" s="190" t="s">
        <v>692</v>
      </c>
      <c r="C101" s="251"/>
      <c r="D101" s="251"/>
      <c r="E101" s="251"/>
      <c r="F101" s="251"/>
      <c r="G101" s="251"/>
      <c r="H101" s="209"/>
      <c r="I101" s="209"/>
      <c r="J101" s="209"/>
      <c r="K101" s="209"/>
      <c r="L101" s="251"/>
      <c r="M101" s="251"/>
      <c r="N101" s="251"/>
      <c r="O101" s="252"/>
      <c r="P101" s="252"/>
      <c r="Q101" s="252"/>
      <c r="R101" s="252"/>
      <c r="S101" s="252"/>
      <c r="T101" s="252"/>
      <c r="U101" s="252"/>
      <c r="V101" s="252"/>
      <c r="W101" s="220" t="s">
        <v>472</v>
      </c>
      <c r="X101" s="211" t="s">
        <v>688</v>
      </c>
      <c r="Y101" s="202"/>
      <c r="Z101" s="198"/>
      <c r="AA101" s="199"/>
      <c r="AE101" s="196"/>
    </row>
    <row r="102" spans="1:31" ht="33" customHeight="1">
      <c r="A102" s="210"/>
      <c r="B102" s="992" t="s">
        <v>693</v>
      </c>
      <c r="C102" s="935"/>
      <c r="D102" s="935"/>
      <c r="E102" s="935"/>
      <c r="F102" s="935"/>
      <c r="G102" s="935"/>
      <c r="H102" s="935"/>
      <c r="I102" s="935"/>
      <c r="J102" s="935"/>
      <c r="K102" s="935"/>
      <c r="L102" s="935"/>
      <c r="M102" s="935"/>
      <c r="N102" s="935"/>
      <c r="O102" s="935"/>
      <c r="P102" s="935"/>
      <c r="Q102" s="935"/>
      <c r="R102" s="935"/>
      <c r="S102" s="935"/>
      <c r="T102" s="935"/>
      <c r="U102" s="935"/>
      <c r="V102" s="935"/>
      <c r="W102" s="935"/>
      <c r="X102" s="987"/>
      <c r="Y102" s="245">
        <f>181754.926</f>
        <v>181754.92600000001</v>
      </c>
      <c r="Z102" s="198"/>
      <c r="AA102" s="199"/>
      <c r="AB102" s="196">
        <f>181754.926</f>
        <v>181754.92600000001</v>
      </c>
      <c r="AC102" s="196"/>
      <c r="AD102" s="196"/>
      <c r="AE102" s="216">
        <f>Y102/Y116</f>
        <v>0.13043478276470455</v>
      </c>
    </row>
    <row r="103" spans="1:31" ht="49.5" customHeight="1">
      <c r="A103" s="210" t="s">
        <v>694</v>
      </c>
      <c r="B103" s="225" t="s">
        <v>695</v>
      </c>
      <c r="C103" s="254"/>
      <c r="D103" s="254"/>
      <c r="E103" s="254"/>
      <c r="F103" s="254"/>
      <c r="G103" s="254"/>
      <c r="H103" s="254"/>
      <c r="I103" s="254"/>
      <c r="J103" s="254"/>
      <c r="K103" s="217"/>
      <c r="L103" s="217"/>
      <c r="M103" s="217"/>
      <c r="N103" s="217"/>
      <c r="O103" s="254"/>
      <c r="P103" s="254"/>
      <c r="Q103" s="254"/>
      <c r="R103" s="254"/>
      <c r="S103" s="254"/>
      <c r="T103" s="254"/>
      <c r="U103" s="254"/>
      <c r="V103" s="254"/>
      <c r="W103" s="210"/>
      <c r="X103" s="211"/>
      <c r="Y103" s="202"/>
      <c r="Z103" s="198"/>
      <c r="AA103" s="199"/>
      <c r="AB103" s="196"/>
      <c r="AC103" s="196"/>
      <c r="AD103" s="196"/>
      <c r="AE103" s="196"/>
    </row>
    <row r="104" spans="1:31" ht="27.75" customHeight="1">
      <c r="A104" s="210" t="s">
        <v>696</v>
      </c>
      <c r="B104" s="231" t="s">
        <v>697</v>
      </c>
      <c r="C104" s="254"/>
      <c r="D104" s="254"/>
      <c r="E104" s="255"/>
      <c r="F104" s="255"/>
      <c r="G104" s="255"/>
      <c r="H104" s="255"/>
      <c r="I104" s="255"/>
      <c r="J104" s="255"/>
      <c r="K104" s="255"/>
      <c r="L104" s="255"/>
      <c r="M104" s="254"/>
      <c r="N104" s="254"/>
      <c r="O104" s="254"/>
      <c r="P104" s="254"/>
      <c r="Q104" s="254"/>
      <c r="R104" s="254"/>
      <c r="S104" s="254"/>
      <c r="T104" s="254"/>
      <c r="U104" s="254"/>
      <c r="V104" s="254"/>
      <c r="W104" s="210" t="s">
        <v>472</v>
      </c>
      <c r="X104" s="211" t="s">
        <v>698</v>
      </c>
      <c r="Y104" s="202"/>
      <c r="Z104" s="198"/>
      <c r="AA104" s="199"/>
      <c r="AB104" s="196"/>
      <c r="AC104" s="196"/>
      <c r="AD104" s="196"/>
      <c r="AE104" s="196"/>
    </row>
    <row r="105" spans="1:31" ht="69" customHeight="1">
      <c r="A105" s="210" t="s">
        <v>699</v>
      </c>
      <c r="B105" s="231" t="s">
        <v>700</v>
      </c>
      <c r="C105" s="254"/>
      <c r="D105" s="254"/>
      <c r="E105" s="255"/>
      <c r="F105" s="255"/>
      <c r="G105" s="255"/>
      <c r="H105" s="255"/>
      <c r="I105" s="255"/>
      <c r="J105" s="255"/>
      <c r="K105" s="254"/>
      <c r="L105" s="254"/>
      <c r="M105" s="255"/>
      <c r="N105" s="255"/>
      <c r="O105" s="254"/>
      <c r="P105" s="254"/>
      <c r="Q105" s="254"/>
      <c r="R105" s="254"/>
      <c r="S105" s="254"/>
      <c r="T105" s="254"/>
      <c r="U105" s="254"/>
      <c r="V105" s="254"/>
      <c r="W105" s="210" t="s">
        <v>472</v>
      </c>
      <c r="X105" s="211" t="s">
        <v>483</v>
      </c>
      <c r="Y105" s="202"/>
      <c r="Z105" s="198"/>
      <c r="AA105" s="199"/>
      <c r="AB105" s="196"/>
      <c r="AC105" s="196"/>
      <c r="AD105" s="196"/>
      <c r="AE105" s="196"/>
    </row>
    <row r="106" spans="1:31" ht="36.75" customHeight="1">
      <c r="A106" s="210" t="s">
        <v>701</v>
      </c>
      <c r="B106" s="231" t="s">
        <v>702</v>
      </c>
      <c r="C106" s="254"/>
      <c r="D106" s="254"/>
      <c r="E106" s="255"/>
      <c r="F106" s="255"/>
      <c r="G106" s="255"/>
      <c r="H106" s="255"/>
      <c r="I106" s="255"/>
      <c r="J106" s="255"/>
      <c r="K106" s="255"/>
      <c r="L106" s="255"/>
      <c r="M106" s="254"/>
      <c r="N106" s="255"/>
      <c r="O106" s="254"/>
      <c r="P106" s="254"/>
      <c r="Q106" s="254"/>
      <c r="R106" s="254"/>
      <c r="S106" s="254"/>
      <c r="T106" s="254"/>
      <c r="U106" s="254"/>
      <c r="V106" s="254"/>
      <c r="W106" s="210" t="s">
        <v>472</v>
      </c>
      <c r="X106" s="211" t="s">
        <v>703</v>
      </c>
      <c r="Y106" s="202"/>
      <c r="Z106" s="198"/>
      <c r="AA106" s="199"/>
      <c r="AB106" s="196"/>
      <c r="AC106" s="196"/>
      <c r="AD106" s="196"/>
      <c r="AE106" s="196"/>
    </row>
    <row r="107" spans="1:31" ht="51" customHeight="1">
      <c r="A107" s="210" t="s">
        <v>704</v>
      </c>
      <c r="B107" s="231" t="s">
        <v>705</v>
      </c>
      <c r="C107" s="254"/>
      <c r="D107" s="255"/>
      <c r="E107" s="255"/>
      <c r="F107" s="255"/>
      <c r="G107" s="255"/>
      <c r="H107" s="255"/>
      <c r="I107" s="255"/>
      <c r="J107" s="255"/>
      <c r="K107" s="255"/>
      <c r="L107" s="254"/>
      <c r="M107" s="254"/>
      <c r="N107" s="255"/>
      <c r="O107" s="254"/>
      <c r="P107" s="254"/>
      <c r="Q107" s="254"/>
      <c r="R107" s="254"/>
      <c r="S107" s="254"/>
      <c r="T107" s="254"/>
      <c r="U107" s="254"/>
      <c r="V107" s="254"/>
      <c r="W107" s="210" t="s">
        <v>472</v>
      </c>
      <c r="X107" s="211" t="s">
        <v>698</v>
      </c>
      <c r="Y107" s="202"/>
      <c r="Z107" s="198"/>
      <c r="AA107" s="199"/>
      <c r="AB107" s="196"/>
      <c r="AC107" s="196"/>
      <c r="AD107" s="196"/>
      <c r="AE107" s="196"/>
    </row>
    <row r="108" spans="1:31" ht="44.25" customHeight="1">
      <c r="A108" s="210" t="s">
        <v>706</v>
      </c>
      <c r="B108" s="225" t="s">
        <v>707</v>
      </c>
      <c r="C108" s="254"/>
      <c r="D108" s="254"/>
      <c r="E108" s="254"/>
      <c r="F108" s="254"/>
      <c r="G108" s="254"/>
      <c r="H108" s="254"/>
      <c r="I108" s="254"/>
      <c r="J108" s="254"/>
      <c r="K108" s="254"/>
      <c r="L108" s="217"/>
      <c r="M108" s="217"/>
      <c r="N108" s="217"/>
      <c r="O108" s="254"/>
      <c r="P108" s="254"/>
      <c r="Q108" s="254"/>
      <c r="R108" s="254"/>
      <c r="S108" s="254"/>
      <c r="T108" s="254"/>
      <c r="U108" s="254"/>
      <c r="V108" s="254"/>
      <c r="W108" s="210"/>
      <c r="X108" s="211"/>
      <c r="Y108" s="202"/>
      <c r="Z108" s="198"/>
      <c r="AA108" s="199"/>
      <c r="AB108" s="196"/>
      <c r="AC108" s="196"/>
      <c r="AD108" s="196"/>
      <c r="AE108" s="196"/>
    </row>
    <row r="109" spans="1:31" ht="66" customHeight="1">
      <c r="A109" s="210" t="s">
        <v>708</v>
      </c>
      <c r="B109" s="231" t="s">
        <v>709</v>
      </c>
      <c r="C109" s="254"/>
      <c r="D109" s="254"/>
      <c r="E109" s="254"/>
      <c r="F109" s="255"/>
      <c r="G109" s="255"/>
      <c r="H109" s="255"/>
      <c r="I109" s="255"/>
      <c r="J109" s="255"/>
      <c r="K109" s="255"/>
      <c r="L109" s="209"/>
      <c r="M109" s="217"/>
      <c r="N109" s="209"/>
      <c r="O109" s="254"/>
      <c r="P109" s="254"/>
      <c r="Q109" s="254"/>
      <c r="R109" s="254"/>
      <c r="S109" s="254"/>
      <c r="T109" s="254"/>
      <c r="U109" s="254"/>
      <c r="V109" s="254"/>
      <c r="W109" s="210" t="s">
        <v>472</v>
      </c>
      <c r="X109" s="211" t="s">
        <v>710</v>
      </c>
      <c r="Y109" s="202"/>
      <c r="Z109" s="198"/>
      <c r="AA109" s="199"/>
      <c r="AB109" s="196"/>
      <c r="AC109" s="196"/>
      <c r="AD109" s="196"/>
      <c r="AE109" s="196"/>
    </row>
    <row r="110" spans="1:31" ht="68.25" customHeight="1">
      <c r="A110" s="210" t="s">
        <v>711</v>
      </c>
      <c r="B110" s="231" t="s">
        <v>712</v>
      </c>
      <c r="C110" s="254"/>
      <c r="D110" s="254"/>
      <c r="E110" s="254"/>
      <c r="F110" s="254"/>
      <c r="G110" s="254"/>
      <c r="H110" s="254"/>
      <c r="I110" s="254"/>
      <c r="J110" s="254"/>
      <c r="K110" s="254"/>
      <c r="L110" s="209"/>
      <c r="M110" s="209"/>
      <c r="N110" s="209"/>
      <c r="O110" s="254"/>
      <c r="P110" s="254"/>
      <c r="Q110" s="254"/>
      <c r="R110" s="254"/>
      <c r="S110" s="254"/>
      <c r="T110" s="254"/>
      <c r="U110" s="254"/>
      <c r="V110" s="254"/>
      <c r="W110" s="210" t="s">
        <v>472</v>
      </c>
      <c r="X110" s="211" t="s">
        <v>713</v>
      </c>
      <c r="Y110" s="202"/>
      <c r="Z110" s="198"/>
      <c r="AA110" s="199"/>
      <c r="AB110" s="196"/>
      <c r="AC110" s="196"/>
      <c r="AD110" s="196"/>
      <c r="AE110" s="196"/>
    </row>
    <row r="111" spans="1:31" ht="68.25" customHeight="1">
      <c r="A111" s="210" t="s">
        <v>714</v>
      </c>
      <c r="B111" s="231" t="s">
        <v>715</v>
      </c>
      <c r="C111" s="254"/>
      <c r="D111" s="254"/>
      <c r="E111" s="255"/>
      <c r="F111" s="255"/>
      <c r="G111" s="255"/>
      <c r="H111" s="255"/>
      <c r="I111" s="255"/>
      <c r="J111" s="254"/>
      <c r="K111" s="254"/>
      <c r="L111" s="217"/>
      <c r="M111" s="217"/>
      <c r="N111" s="209"/>
      <c r="O111" s="254"/>
      <c r="P111" s="254"/>
      <c r="Q111" s="254"/>
      <c r="R111" s="254"/>
      <c r="S111" s="254"/>
      <c r="T111" s="254"/>
      <c r="U111" s="254"/>
      <c r="V111" s="254"/>
      <c r="W111" s="210" t="s">
        <v>518</v>
      </c>
      <c r="X111" s="211" t="s">
        <v>713</v>
      </c>
      <c r="Y111" s="202"/>
      <c r="Z111" s="198"/>
      <c r="AA111" s="199"/>
      <c r="AB111" s="196"/>
      <c r="AC111" s="196"/>
      <c r="AD111" s="196"/>
      <c r="AE111" s="196"/>
    </row>
    <row r="112" spans="1:31" ht="68.25" customHeight="1">
      <c r="A112" s="210" t="s">
        <v>716</v>
      </c>
      <c r="B112" s="225" t="s">
        <v>717</v>
      </c>
      <c r="C112" s="254"/>
      <c r="D112" s="254"/>
      <c r="E112" s="254"/>
      <c r="F112" s="254"/>
      <c r="G112" s="254"/>
      <c r="H112" s="254"/>
      <c r="I112" s="254"/>
      <c r="J112" s="254"/>
      <c r="K112" s="254"/>
      <c r="L112" s="217"/>
      <c r="M112" s="217"/>
      <c r="N112" s="209"/>
      <c r="O112" s="254"/>
      <c r="P112" s="254"/>
      <c r="Q112" s="254"/>
      <c r="R112" s="254"/>
      <c r="S112" s="254"/>
      <c r="T112" s="254"/>
      <c r="U112" s="254"/>
      <c r="V112" s="254"/>
      <c r="W112" s="210"/>
      <c r="X112" s="211"/>
      <c r="Y112" s="202"/>
      <c r="Z112" s="198"/>
      <c r="AA112" s="199"/>
      <c r="AB112" s="196"/>
      <c r="AC112" s="196"/>
      <c r="AD112" s="196"/>
      <c r="AE112" s="196"/>
    </row>
    <row r="113" spans="1:31" ht="40.5" customHeight="1">
      <c r="A113" s="210" t="s">
        <v>718</v>
      </c>
      <c r="B113" s="231" t="s">
        <v>719</v>
      </c>
      <c r="C113" s="254"/>
      <c r="D113" s="254"/>
      <c r="E113" s="255"/>
      <c r="F113" s="255"/>
      <c r="G113" s="255"/>
      <c r="H113" s="255"/>
      <c r="I113" s="254"/>
      <c r="J113" s="254"/>
      <c r="K113" s="254"/>
      <c r="L113" s="217"/>
      <c r="M113" s="217"/>
      <c r="N113" s="209"/>
      <c r="O113" s="254"/>
      <c r="P113" s="254"/>
      <c r="Q113" s="254"/>
      <c r="R113" s="254"/>
      <c r="S113" s="254"/>
      <c r="T113" s="254"/>
      <c r="U113" s="254"/>
      <c r="V113" s="254"/>
      <c r="W113" s="210" t="s">
        <v>472</v>
      </c>
      <c r="X113" s="211" t="s">
        <v>720</v>
      </c>
      <c r="Y113" s="202"/>
      <c r="Z113" s="198"/>
      <c r="AA113" s="199"/>
      <c r="AB113" s="196"/>
      <c r="AC113" s="196"/>
      <c r="AD113" s="196"/>
      <c r="AE113" s="196"/>
    </row>
    <row r="114" spans="1:31" ht="91.5" customHeight="1">
      <c r="A114" s="210" t="s">
        <v>721</v>
      </c>
      <c r="B114" s="231" t="s">
        <v>722</v>
      </c>
      <c r="C114" s="255"/>
      <c r="D114" s="255"/>
      <c r="E114" s="255"/>
      <c r="F114" s="254"/>
      <c r="G114" s="254"/>
      <c r="H114" s="254"/>
      <c r="I114" s="254"/>
      <c r="J114" s="254"/>
      <c r="K114" s="254"/>
      <c r="L114" s="209"/>
      <c r="M114" s="209"/>
      <c r="N114" s="209"/>
      <c r="O114" s="254"/>
      <c r="P114" s="254"/>
      <c r="Q114" s="254"/>
      <c r="R114" s="254"/>
      <c r="S114" s="254"/>
      <c r="T114" s="254"/>
      <c r="U114" s="254"/>
      <c r="V114" s="254"/>
      <c r="W114" s="210"/>
      <c r="X114" s="211"/>
      <c r="Y114" s="202"/>
      <c r="Z114" s="198"/>
      <c r="AA114" s="199"/>
      <c r="AB114" s="196"/>
      <c r="AC114" s="196"/>
      <c r="AD114" s="196"/>
      <c r="AE114" s="196"/>
    </row>
    <row r="115" spans="1:31" ht="68.25" customHeight="1">
      <c r="A115" s="210" t="s">
        <v>723</v>
      </c>
      <c r="B115" s="231" t="s">
        <v>724</v>
      </c>
      <c r="C115" s="254"/>
      <c r="D115" s="256"/>
      <c r="E115" s="256"/>
      <c r="F115" s="256"/>
      <c r="G115" s="256"/>
      <c r="H115" s="256"/>
      <c r="I115" s="256"/>
      <c r="J115" s="256"/>
      <c r="K115" s="256"/>
      <c r="L115" s="217"/>
      <c r="M115" s="217"/>
      <c r="N115" s="209"/>
      <c r="O115" s="254"/>
      <c r="P115" s="254"/>
      <c r="Q115" s="254"/>
      <c r="R115" s="254"/>
      <c r="S115" s="254"/>
      <c r="T115" s="254"/>
      <c r="U115" s="254"/>
      <c r="V115" s="254"/>
      <c r="W115" s="210" t="s">
        <v>472</v>
      </c>
      <c r="X115" s="211" t="s">
        <v>720</v>
      </c>
      <c r="Y115" s="202"/>
      <c r="Z115" s="198"/>
      <c r="AA115" s="199"/>
      <c r="AB115" s="196"/>
      <c r="AC115" s="196"/>
      <c r="AD115" s="196"/>
      <c r="AE115" s="196"/>
    </row>
    <row r="116" spans="1:31" ht="15.75" customHeight="1">
      <c r="A116" s="980" t="s">
        <v>725</v>
      </c>
      <c r="B116" s="958"/>
      <c r="C116" s="208"/>
      <c r="D116" s="208"/>
      <c r="E116" s="208"/>
      <c r="F116" s="208"/>
      <c r="G116" s="208"/>
      <c r="H116" s="208"/>
      <c r="I116" s="208"/>
      <c r="J116" s="208"/>
      <c r="K116" s="208"/>
      <c r="L116" s="208"/>
      <c r="M116" s="208"/>
      <c r="N116" s="208"/>
      <c r="O116" s="208"/>
      <c r="P116" s="208"/>
      <c r="Q116" s="208"/>
      <c r="R116" s="208"/>
      <c r="S116" s="208"/>
      <c r="T116" s="208"/>
      <c r="U116" s="208"/>
      <c r="V116" s="208"/>
      <c r="W116" s="210"/>
      <c r="X116" s="208"/>
      <c r="Y116" s="257">
        <f>(Y102+Y88+Y64+Y32+Y15)</f>
        <v>1393454.4310000001</v>
      </c>
      <c r="Z116" s="258"/>
      <c r="AA116" s="199"/>
      <c r="AB116" s="196"/>
      <c r="AC116" s="196"/>
      <c r="AD116" s="196"/>
      <c r="AE116" s="259"/>
    </row>
    <row r="117" spans="1:31" ht="15.75" customHeight="1">
      <c r="A117" s="249"/>
      <c r="B117" s="249"/>
      <c r="C117" s="199"/>
      <c r="D117" s="199"/>
      <c r="E117" s="199"/>
      <c r="F117" s="199"/>
      <c r="G117" s="199"/>
      <c r="H117" s="199"/>
      <c r="I117" s="199"/>
      <c r="J117" s="199"/>
      <c r="K117" s="199"/>
      <c r="L117" s="199"/>
      <c r="M117" s="199"/>
      <c r="N117" s="199"/>
      <c r="O117" s="199"/>
      <c r="P117" s="199"/>
      <c r="Q117" s="199"/>
      <c r="R117" s="199"/>
      <c r="S117" s="199"/>
      <c r="T117" s="199"/>
      <c r="U117" s="199"/>
      <c r="V117" s="199"/>
      <c r="W117" s="249"/>
      <c r="X117" s="199"/>
      <c r="Y117" s="198"/>
      <c r="Z117" s="198"/>
      <c r="AA117" s="199"/>
    </row>
    <row r="118" spans="1:31" ht="15.75" customHeight="1">
      <c r="A118" s="249"/>
      <c r="B118" s="249"/>
      <c r="C118" s="981"/>
      <c r="D118" s="942"/>
      <c r="E118" s="942"/>
      <c r="F118" s="942"/>
      <c r="G118" s="942"/>
      <c r="H118" s="942"/>
      <c r="I118" s="942"/>
      <c r="J118" s="942"/>
      <c r="K118" s="942"/>
      <c r="L118" s="942"/>
      <c r="M118" s="942"/>
      <c r="N118" s="942"/>
      <c r="O118" s="942"/>
      <c r="P118" s="942"/>
      <c r="Q118" s="942"/>
      <c r="R118" s="942"/>
      <c r="S118" s="942"/>
      <c r="T118" s="942"/>
      <c r="U118" s="942"/>
      <c r="V118" s="942"/>
      <c r="W118" s="249"/>
      <c r="X118" s="199"/>
      <c r="Y118" s="198"/>
      <c r="Z118" s="198"/>
      <c r="AA118" s="199"/>
    </row>
    <row r="119" spans="1:31" ht="15.75" customHeight="1">
      <c r="A119" s="250"/>
      <c r="B119" s="250"/>
      <c r="C119" s="260"/>
      <c r="W119" s="250"/>
      <c r="Y119" s="261"/>
      <c r="Z119" s="261"/>
    </row>
    <row r="120" spans="1:31" ht="15.75" customHeight="1">
      <c r="A120" s="250"/>
      <c r="B120" s="250"/>
      <c r="C120" s="982"/>
      <c r="D120" s="942"/>
      <c r="E120" s="942"/>
      <c r="F120" s="942"/>
      <c r="G120" s="942"/>
      <c r="H120" s="942"/>
      <c r="I120" s="942"/>
      <c r="J120" s="942"/>
      <c r="K120" s="942"/>
      <c r="L120" s="942"/>
      <c r="M120" s="942"/>
      <c r="N120" s="942"/>
      <c r="O120" s="942"/>
      <c r="P120" s="942"/>
      <c r="Q120" s="942"/>
      <c r="R120" s="942"/>
      <c r="S120" s="942"/>
      <c r="T120" s="942"/>
      <c r="U120" s="942"/>
      <c r="V120" s="942"/>
      <c r="W120" s="250"/>
      <c r="Y120" s="261"/>
      <c r="Z120" s="261"/>
    </row>
    <row r="121" spans="1:31" ht="15.75" customHeight="1">
      <c r="A121" s="250"/>
      <c r="B121" s="250"/>
      <c r="W121" s="250"/>
      <c r="Y121" s="261"/>
      <c r="Z121" s="261"/>
    </row>
    <row r="122" spans="1:31" ht="15.75" customHeight="1">
      <c r="A122" s="250"/>
      <c r="B122" s="250"/>
      <c r="W122" s="250"/>
    </row>
    <row r="123" spans="1:31" ht="15.75" customHeight="1">
      <c r="A123" s="250"/>
      <c r="B123" s="250"/>
      <c r="W123" s="250"/>
    </row>
    <row r="124" spans="1:31" ht="15.75" customHeight="1">
      <c r="A124" s="250"/>
      <c r="B124" s="250"/>
      <c r="W124" s="250"/>
    </row>
    <row r="125" spans="1:31" ht="15.75" customHeight="1">
      <c r="A125" s="250"/>
      <c r="B125" s="250"/>
      <c r="W125" s="250"/>
    </row>
    <row r="126" spans="1:31" ht="15.75" customHeight="1">
      <c r="A126" s="250"/>
      <c r="B126" s="250"/>
      <c r="W126" s="250"/>
    </row>
    <row r="127" spans="1:31" ht="15.75" customHeight="1">
      <c r="A127" s="250"/>
      <c r="B127" s="250"/>
      <c r="W127" s="250"/>
    </row>
    <row r="128" spans="1:31" ht="15.75" customHeight="1">
      <c r="A128" s="250"/>
      <c r="B128" s="250"/>
      <c r="W128" s="250"/>
    </row>
    <row r="129" spans="1:24" ht="15.75" customHeight="1">
      <c r="A129" s="250"/>
      <c r="B129" s="250"/>
      <c r="W129" s="250"/>
      <c r="X129" s="248" t="s">
        <v>449</v>
      </c>
    </row>
    <row r="130" spans="1:24" ht="15.75" customHeight="1">
      <c r="A130" s="250"/>
      <c r="B130" s="250"/>
      <c r="W130" s="250"/>
    </row>
    <row r="131" spans="1:24" ht="15.75" customHeight="1">
      <c r="A131" s="250"/>
      <c r="B131" s="250"/>
      <c r="W131" s="250"/>
    </row>
    <row r="132" spans="1:24" ht="15.75" customHeight="1">
      <c r="A132" s="250"/>
      <c r="B132" s="250"/>
      <c r="W132" s="250"/>
    </row>
    <row r="133" spans="1:24" ht="15.75" customHeight="1">
      <c r="A133" s="250"/>
      <c r="B133" s="250"/>
      <c r="W133" s="250"/>
    </row>
    <row r="134" spans="1:24" ht="15.75" customHeight="1">
      <c r="A134" s="250"/>
      <c r="B134" s="250"/>
      <c r="W134" s="250"/>
    </row>
    <row r="135" spans="1:24" ht="15.75" customHeight="1">
      <c r="A135" s="250"/>
      <c r="B135" s="250"/>
      <c r="W135" s="250"/>
    </row>
    <row r="136" spans="1:24" ht="15.75" customHeight="1">
      <c r="A136" s="250"/>
      <c r="B136" s="250"/>
      <c r="W136" s="250"/>
    </row>
    <row r="137" spans="1:24" ht="15.75" customHeight="1">
      <c r="A137" s="250"/>
      <c r="B137" s="250"/>
      <c r="W137" s="250"/>
    </row>
    <row r="138" spans="1:24" ht="15.75" customHeight="1">
      <c r="A138" s="250"/>
      <c r="B138" s="250"/>
      <c r="W138" s="250"/>
    </row>
    <row r="139" spans="1:24" ht="15.75" customHeight="1">
      <c r="A139" s="250"/>
      <c r="B139" s="250"/>
      <c r="W139" s="250"/>
    </row>
    <row r="140" spans="1:24" ht="15.75" customHeight="1">
      <c r="A140" s="250"/>
      <c r="B140" s="250"/>
      <c r="W140" s="250"/>
    </row>
    <row r="141" spans="1:24" ht="15.75" customHeight="1">
      <c r="A141" s="250"/>
      <c r="B141" s="250"/>
      <c r="W141" s="250"/>
    </row>
    <row r="142" spans="1:24" ht="15.75" customHeight="1">
      <c r="A142" s="250"/>
      <c r="B142" s="250"/>
      <c r="W142" s="250"/>
    </row>
    <row r="143" spans="1:24" ht="15.75" customHeight="1">
      <c r="A143" s="250"/>
      <c r="B143" s="250"/>
      <c r="W143" s="250"/>
    </row>
    <row r="144" spans="1:24" ht="15.75" customHeight="1">
      <c r="A144" s="250"/>
      <c r="B144" s="250"/>
      <c r="W144" s="250"/>
    </row>
    <row r="145" spans="1:23" ht="15.75" customHeight="1">
      <c r="A145" s="250"/>
      <c r="B145" s="250"/>
      <c r="W145" s="250"/>
    </row>
    <row r="146" spans="1:23" ht="15.75" customHeight="1">
      <c r="A146" s="250"/>
      <c r="B146" s="250"/>
      <c r="W146" s="250"/>
    </row>
    <row r="147" spans="1:23" ht="15.75" customHeight="1">
      <c r="A147" s="250"/>
      <c r="B147" s="250"/>
      <c r="W147" s="250"/>
    </row>
    <row r="148" spans="1:23" ht="15.75" customHeight="1">
      <c r="A148" s="250"/>
      <c r="B148" s="250"/>
      <c r="W148" s="250"/>
    </row>
    <row r="149" spans="1:23" ht="15.75" customHeight="1">
      <c r="A149" s="250"/>
      <c r="B149" s="250"/>
      <c r="W149" s="250"/>
    </row>
    <row r="150" spans="1:23" ht="15.75" customHeight="1">
      <c r="A150" s="250"/>
      <c r="B150" s="250"/>
      <c r="W150" s="250"/>
    </row>
    <row r="151" spans="1:23" ht="15.75" customHeight="1">
      <c r="A151" s="250"/>
      <c r="B151" s="250"/>
      <c r="W151" s="250"/>
    </row>
    <row r="152" spans="1:23" ht="15.75" customHeight="1">
      <c r="A152" s="250"/>
      <c r="B152" s="250"/>
      <c r="W152" s="250"/>
    </row>
    <row r="153" spans="1:23" ht="15.75" customHeight="1">
      <c r="A153" s="250"/>
      <c r="B153" s="250"/>
      <c r="W153" s="250"/>
    </row>
    <row r="154" spans="1:23" ht="15.75" customHeight="1">
      <c r="A154" s="250"/>
      <c r="B154" s="250"/>
      <c r="W154" s="250"/>
    </row>
    <row r="155" spans="1:23" ht="15.75" customHeight="1">
      <c r="A155" s="250"/>
      <c r="B155" s="250"/>
      <c r="W155" s="250"/>
    </row>
    <row r="156" spans="1:23" ht="15.75" customHeight="1">
      <c r="A156" s="250"/>
      <c r="B156" s="250"/>
      <c r="W156" s="250"/>
    </row>
    <row r="157" spans="1:23" ht="15.75" customHeight="1">
      <c r="A157" s="250"/>
      <c r="B157" s="250"/>
      <c r="W157" s="250"/>
    </row>
    <row r="158" spans="1:23" ht="15.75" customHeight="1">
      <c r="A158" s="250"/>
      <c r="B158" s="250"/>
      <c r="W158" s="250"/>
    </row>
    <row r="159" spans="1:23" ht="15.75" customHeight="1">
      <c r="A159" s="250"/>
      <c r="B159" s="250"/>
      <c r="W159" s="250"/>
    </row>
    <row r="160" spans="1:23" ht="15.75" customHeight="1">
      <c r="A160" s="250"/>
      <c r="B160" s="250"/>
      <c r="W160" s="250"/>
    </row>
    <row r="161" spans="1:23" ht="15.75" customHeight="1">
      <c r="A161" s="250"/>
      <c r="B161" s="250"/>
      <c r="W161" s="250"/>
    </row>
    <row r="162" spans="1:23" ht="15.75" customHeight="1">
      <c r="A162" s="250"/>
      <c r="B162" s="250"/>
      <c r="W162" s="250"/>
    </row>
    <row r="163" spans="1:23" ht="15.75" customHeight="1">
      <c r="A163" s="250"/>
      <c r="B163" s="250"/>
      <c r="W163" s="250"/>
    </row>
    <row r="164" spans="1:23" ht="15.75" customHeight="1">
      <c r="A164" s="250"/>
      <c r="B164" s="250"/>
      <c r="W164" s="250"/>
    </row>
    <row r="165" spans="1:23" ht="15.75" customHeight="1">
      <c r="A165" s="250"/>
      <c r="B165" s="250"/>
      <c r="W165" s="250"/>
    </row>
    <row r="166" spans="1:23" ht="15.75" customHeight="1">
      <c r="A166" s="250"/>
      <c r="B166" s="250"/>
      <c r="W166" s="250"/>
    </row>
    <row r="167" spans="1:23" ht="15.75" customHeight="1">
      <c r="A167" s="250"/>
      <c r="B167" s="250"/>
      <c r="W167" s="250"/>
    </row>
    <row r="168" spans="1:23" ht="15.75" customHeight="1">
      <c r="A168" s="250"/>
      <c r="B168" s="250"/>
      <c r="W168" s="250"/>
    </row>
    <row r="169" spans="1:23" ht="15.75" customHeight="1">
      <c r="A169" s="250"/>
      <c r="B169" s="250"/>
      <c r="W169" s="250"/>
    </row>
    <row r="170" spans="1:23" ht="15.75" customHeight="1">
      <c r="A170" s="250"/>
      <c r="B170" s="250"/>
      <c r="W170" s="250"/>
    </row>
    <row r="171" spans="1:23" ht="15.75" customHeight="1">
      <c r="A171" s="250"/>
      <c r="B171" s="250"/>
      <c r="W171" s="250"/>
    </row>
    <row r="172" spans="1:23" ht="15.75" customHeight="1">
      <c r="A172" s="250"/>
      <c r="B172" s="250"/>
      <c r="W172" s="250"/>
    </row>
    <row r="173" spans="1:23" ht="15.75" customHeight="1">
      <c r="A173" s="250"/>
      <c r="B173" s="250"/>
      <c r="W173" s="250"/>
    </row>
    <row r="174" spans="1:23" ht="15.75" customHeight="1">
      <c r="A174" s="250"/>
      <c r="B174" s="250"/>
      <c r="W174" s="250"/>
    </row>
    <row r="175" spans="1:23" ht="15.75" customHeight="1">
      <c r="A175" s="250"/>
      <c r="B175" s="250"/>
      <c r="W175" s="250"/>
    </row>
    <row r="176" spans="1:23" ht="15.75" customHeight="1">
      <c r="A176" s="250"/>
      <c r="B176" s="250"/>
      <c r="W176" s="250"/>
    </row>
    <row r="177" spans="1:23" ht="15.75" customHeight="1">
      <c r="A177" s="250"/>
      <c r="B177" s="250"/>
      <c r="W177" s="250"/>
    </row>
    <row r="178" spans="1:23" ht="15.75" customHeight="1">
      <c r="A178" s="250"/>
      <c r="B178" s="250"/>
      <c r="W178" s="250"/>
    </row>
    <row r="179" spans="1:23" ht="15.75" customHeight="1">
      <c r="A179" s="250"/>
      <c r="B179" s="250"/>
      <c r="W179" s="250"/>
    </row>
    <row r="180" spans="1:23" ht="15.75" customHeight="1">
      <c r="A180" s="250"/>
      <c r="B180" s="250"/>
      <c r="W180" s="250"/>
    </row>
    <row r="181" spans="1:23" ht="15.75" customHeight="1">
      <c r="A181" s="250"/>
      <c r="B181" s="250"/>
      <c r="W181" s="250"/>
    </row>
    <row r="182" spans="1:23" ht="15.75" customHeight="1">
      <c r="A182" s="250"/>
      <c r="B182" s="250"/>
      <c r="W182" s="250"/>
    </row>
    <row r="183" spans="1:23" ht="15.75" customHeight="1">
      <c r="A183" s="250"/>
      <c r="B183" s="250"/>
      <c r="W183" s="250"/>
    </row>
    <row r="184" spans="1:23" ht="15.75" customHeight="1">
      <c r="A184" s="250"/>
      <c r="B184" s="250"/>
      <c r="W184" s="250"/>
    </row>
    <row r="185" spans="1:23" ht="15.75" customHeight="1">
      <c r="A185" s="250"/>
      <c r="B185" s="250"/>
      <c r="W185" s="250"/>
    </row>
    <row r="186" spans="1:23" ht="15.75" customHeight="1">
      <c r="A186" s="250"/>
      <c r="B186" s="250"/>
      <c r="W186" s="250"/>
    </row>
    <row r="187" spans="1:23" ht="15.75" customHeight="1">
      <c r="A187" s="250"/>
      <c r="B187" s="250"/>
      <c r="W187" s="250"/>
    </row>
    <row r="188" spans="1:23" ht="15.75" customHeight="1">
      <c r="A188" s="250"/>
      <c r="B188" s="250"/>
      <c r="W188" s="250"/>
    </row>
    <row r="189" spans="1:23" ht="15.75" customHeight="1">
      <c r="A189" s="250"/>
      <c r="B189" s="250"/>
      <c r="W189" s="250"/>
    </row>
    <row r="190" spans="1:23" ht="15.75" customHeight="1">
      <c r="A190" s="250"/>
      <c r="B190" s="250"/>
      <c r="W190" s="250"/>
    </row>
    <row r="191" spans="1:23" ht="15.75" customHeight="1">
      <c r="A191" s="250"/>
      <c r="B191" s="250"/>
      <c r="W191" s="250"/>
    </row>
    <row r="192" spans="1:23" ht="15.75" customHeight="1">
      <c r="A192" s="250"/>
      <c r="B192" s="250"/>
      <c r="W192" s="250"/>
    </row>
    <row r="193" spans="1:23" ht="15.75" customHeight="1">
      <c r="A193" s="250"/>
      <c r="B193" s="250"/>
      <c r="W193" s="250"/>
    </row>
    <row r="194" spans="1:23" ht="15.75" customHeight="1">
      <c r="A194" s="250"/>
      <c r="B194" s="250"/>
      <c r="W194" s="250"/>
    </row>
    <row r="195" spans="1:23" ht="15.75" customHeight="1">
      <c r="A195" s="250"/>
      <c r="B195" s="250"/>
      <c r="W195" s="250"/>
    </row>
    <row r="196" spans="1:23" ht="15.75" customHeight="1">
      <c r="A196" s="250"/>
      <c r="B196" s="250"/>
      <c r="W196" s="250"/>
    </row>
    <row r="197" spans="1:23" ht="15.75" customHeight="1">
      <c r="A197" s="250"/>
      <c r="B197" s="250"/>
      <c r="W197" s="250"/>
    </row>
    <row r="198" spans="1:23" ht="15.75" customHeight="1">
      <c r="A198" s="250"/>
      <c r="B198" s="250"/>
      <c r="W198" s="250"/>
    </row>
    <row r="199" spans="1:23" ht="15.75" customHeight="1">
      <c r="A199" s="250"/>
      <c r="B199" s="250"/>
      <c r="W199" s="250"/>
    </row>
    <row r="200" spans="1:23" ht="15.75" customHeight="1">
      <c r="A200" s="250"/>
      <c r="B200" s="250"/>
      <c r="W200" s="250"/>
    </row>
    <row r="201" spans="1:23" ht="15.75" customHeight="1">
      <c r="A201" s="250"/>
      <c r="B201" s="250"/>
      <c r="W201" s="250"/>
    </row>
    <row r="202" spans="1:23" ht="15.75" customHeight="1">
      <c r="A202" s="250"/>
      <c r="B202" s="250"/>
      <c r="W202" s="250"/>
    </row>
    <row r="203" spans="1:23" ht="15.75" customHeight="1">
      <c r="A203" s="250"/>
      <c r="B203" s="250"/>
      <c r="W203" s="250"/>
    </row>
    <row r="204" spans="1:23" ht="15.75" customHeight="1">
      <c r="A204" s="250"/>
      <c r="B204" s="250"/>
      <c r="W204" s="250"/>
    </row>
    <row r="205" spans="1:23" ht="15.75" customHeight="1">
      <c r="A205" s="250"/>
      <c r="B205" s="250"/>
      <c r="W205" s="250"/>
    </row>
    <row r="206" spans="1:23" ht="15.75" customHeight="1">
      <c r="A206" s="250"/>
      <c r="B206" s="250"/>
      <c r="W206" s="250"/>
    </row>
    <row r="207" spans="1:23" ht="15.75" customHeight="1">
      <c r="A207" s="250"/>
      <c r="B207" s="250"/>
      <c r="W207" s="250"/>
    </row>
    <row r="208" spans="1:23" ht="15.75" customHeight="1">
      <c r="A208" s="250"/>
      <c r="B208" s="250"/>
      <c r="W208" s="250"/>
    </row>
    <row r="209" spans="1:23" ht="15.75" customHeight="1">
      <c r="A209" s="250"/>
      <c r="B209" s="250"/>
      <c r="W209" s="250"/>
    </row>
    <row r="210" spans="1:23" ht="15.75" customHeight="1">
      <c r="A210" s="250"/>
      <c r="B210" s="250"/>
      <c r="W210" s="250"/>
    </row>
    <row r="211" spans="1:23" ht="15.75" customHeight="1">
      <c r="A211" s="250"/>
      <c r="B211" s="250"/>
      <c r="W211" s="250"/>
    </row>
    <row r="212" spans="1:23" ht="15.75" customHeight="1">
      <c r="A212" s="250"/>
      <c r="B212" s="250"/>
      <c r="W212" s="250"/>
    </row>
    <row r="213" spans="1:23" ht="15.75" customHeight="1">
      <c r="A213" s="250"/>
      <c r="B213" s="250"/>
      <c r="W213" s="250"/>
    </row>
    <row r="214" spans="1:23" ht="15.75" customHeight="1">
      <c r="A214" s="250"/>
      <c r="B214" s="250"/>
      <c r="W214" s="250"/>
    </row>
    <row r="215" spans="1:23" ht="15.75" customHeight="1">
      <c r="A215" s="250"/>
      <c r="B215" s="250"/>
      <c r="W215" s="250"/>
    </row>
    <row r="216" spans="1:23" ht="15.75" customHeight="1">
      <c r="A216" s="250"/>
      <c r="B216" s="250"/>
      <c r="W216" s="250"/>
    </row>
    <row r="217" spans="1:23" ht="15.75" customHeight="1">
      <c r="A217" s="250"/>
      <c r="B217" s="250"/>
      <c r="W217" s="250"/>
    </row>
    <row r="218" spans="1:23" ht="15.75" customHeight="1">
      <c r="A218" s="250"/>
      <c r="B218" s="250"/>
      <c r="W218" s="250"/>
    </row>
    <row r="219" spans="1:23" ht="15.75" customHeight="1">
      <c r="A219" s="250"/>
      <c r="B219" s="250"/>
      <c r="W219" s="250"/>
    </row>
    <row r="220" spans="1:23" ht="15.75" customHeight="1">
      <c r="A220" s="250"/>
      <c r="B220" s="250"/>
      <c r="W220" s="250"/>
    </row>
    <row r="221" spans="1:23" ht="15.75" customHeight="1">
      <c r="A221" s="250"/>
      <c r="B221" s="250"/>
      <c r="W221" s="250"/>
    </row>
    <row r="222" spans="1:23" ht="15.75" customHeight="1">
      <c r="A222" s="250"/>
      <c r="B222" s="250"/>
      <c r="W222" s="250"/>
    </row>
    <row r="223" spans="1:23" ht="15.75" customHeight="1">
      <c r="A223" s="250"/>
      <c r="B223" s="250"/>
      <c r="W223" s="250"/>
    </row>
    <row r="224" spans="1:23" ht="15.75" customHeight="1">
      <c r="A224" s="250"/>
      <c r="B224" s="250"/>
      <c r="W224" s="250"/>
    </row>
    <row r="225" spans="1:23" ht="15.75" customHeight="1">
      <c r="A225" s="250"/>
      <c r="B225" s="250"/>
      <c r="W225" s="250"/>
    </row>
    <row r="226" spans="1:23" ht="15.75" customHeight="1">
      <c r="A226" s="250"/>
      <c r="B226" s="250"/>
      <c r="W226" s="250"/>
    </row>
    <row r="227" spans="1:23" ht="15.75" customHeight="1">
      <c r="A227" s="250"/>
      <c r="B227" s="250"/>
      <c r="W227" s="250"/>
    </row>
    <row r="228" spans="1:23" ht="15.75" customHeight="1">
      <c r="A228" s="250"/>
      <c r="B228" s="250"/>
      <c r="W228" s="250"/>
    </row>
    <row r="229" spans="1:23" ht="15.75" customHeight="1">
      <c r="A229" s="250"/>
      <c r="B229" s="250"/>
      <c r="W229" s="250"/>
    </row>
    <row r="230" spans="1:23" ht="15.75" customHeight="1">
      <c r="A230" s="250"/>
      <c r="B230" s="250"/>
      <c r="W230" s="250"/>
    </row>
    <row r="231" spans="1:23" ht="15.75" customHeight="1">
      <c r="A231" s="250"/>
      <c r="B231" s="250"/>
      <c r="W231" s="250"/>
    </row>
    <row r="232" spans="1:23" ht="15.75" customHeight="1">
      <c r="A232" s="250"/>
      <c r="B232" s="250"/>
      <c r="W232" s="250"/>
    </row>
    <row r="233" spans="1:23" ht="15.75" customHeight="1">
      <c r="A233" s="250"/>
      <c r="B233" s="250"/>
      <c r="W233" s="250"/>
    </row>
    <row r="234" spans="1:23" ht="15.75" customHeight="1">
      <c r="A234" s="250"/>
      <c r="B234" s="250"/>
      <c r="W234" s="250"/>
    </row>
    <row r="235" spans="1:23" ht="15.75" customHeight="1">
      <c r="A235" s="250"/>
      <c r="B235" s="250"/>
      <c r="W235" s="250"/>
    </row>
    <row r="236" spans="1:23" ht="15.75" customHeight="1">
      <c r="A236" s="250"/>
      <c r="B236" s="250"/>
      <c r="W236" s="250"/>
    </row>
    <row r="237" spans="1:23" ht="15.75" customHeight="1">
      <c r="A237" s="250"/>
      <c r="B237" s="250"/>
      <c r="W237" s="250"/>
    </row>
    <row r="238" spans="1:23" ht="15.75" customHeight="1">
      <c r="A238" s="250"/>
      <c r="B238" s="250"/>
      <c r="W238" s="250"/>
    </row>
    <row r="239" spans="1:23" ht="15.75" customHeight="1">
      <c r="A239" s="250"/>
      <c r="B239" s="250"/>
      <c r="W239" s="250"/>
    </row>
    <row r="240" spans="1:23" ht="15.75" customHeight="1">
      <c r="A240" s="250"/>
      <c r="B240" s="250"/>
      <c r="W240" s="250"/>
    </row>
    <row r="241" spans="1:23" ht="15.75" customHeight="1">
      <c r="A241" s="250"/>
      <c r="B241" s="250"/>
      <c r="W241" s="250"/>
    </row>
    <row r="242" spans="1:23" ht="15.75" customHeight="1">
      <c r="A242" s="250"/>
      <c r="B242" s="250"/>
      <c r="W242" s="250"/>
    </row>
    <row r="243" spans="1:23" ht="15.75" customHeight="1">
      <c r="A243" s="250"/>
      <c r="B243" s="250"/>
      <c r="W243" s="250"/>
    </row>
    <row r="244" spans="1:23" ht="15.75" customHeight="1">
      <c r="A244" s="250"/>
      <c r="B244" s="250"/>
      <c r="W244" s="250"/>
    </row>
    <row r="245" spans="1:23" ht="15.75" customHeight="1">
      <c r="A245" s="250"/>
      <c r="B245" s="250"/>
      <c r="W245" s="250"/>
    </row>
    <row r="246" spans="1:23" ht="15.75" customHeight="1">
      <c r="A246" s="250"/>
      <c r="B246" s="250"/>
      <c r="W246" s="250"/>
    </row>
    <row r="247" spans="1:23" ht="15.75" customHeight="1">
      <c r="A247" s="250"/>
      <c r="B247" s="250"/>
      <c r="W247" s="250"/>
    </row>
    <row r="248" spans="1:23" ht="15.75" customHeight="1">
      <c r="A248" s="250"/>
      <c r="B248" s="250"/>
      <c r="W248" s="250"/>
    </row>
    <row r="249" spans="1:23" ht="15.75" customHeight="1">
      <c r="A249" s="250"/>
      <c r="B249" s="250"/>
      <c r="W249" s="250"/>
    </row>
    <row r="250" spans="1:23" ht="15.75" customHeight="1">
      <c r="A250" s="250"/>
      <c r="B250" s="250"/>
      <c r="W250" s="250"/>
    </row>
    <row r="251" spans="1:23" ht="15.75" customHeight="1">
      <c r="A251" s="250"/>
      <c r="B251" s="250"/>
      <c r="W251" s="250"/>
    </row>
    <row r="252" spans="1:23" ht="15.75" customHeight="1">
      <c r="A252" s="250"/>
      <c r="B252" s="250"/>
      <c r="W252" s="250"/>
    </row>
    <row r="253" spans="1:23" ht="15.75" customHeight="1">
      <c r="A253" s="250"/>
      <c r="B253" s="250"/>
      <c r="W253" s="250"/>
    </row>
    <row r="254" spans="1:23" ht="15.75" customHeight="1">
      <c r="A254" s="250"/>
      <c r="B254" s="250"/>
      <c r="W254" s="250"/>
    </row>
    <row r="255" spans="1:23" ht="15.75" customHeight="1">
      <c r="A255" s="250"/>
      <c r="B255" s="250"/>
      <c r="W255" s="250"/>
    </row>
    <row r="256" spans="1:23" ht="15.75" customHeight="1">
      <c r="A256" s="250"/>
      <c r="B256" s="250"/>
      <c r="W256" s="250"/>
    </row>
    <row r="257" spans="1:23" ht="15.75" customHeight="1">
      <c r="A257" s="250"/>
      <c r="B257" s="250"/>
      <c r="W257" s="250"/>
    </row>
    <row r="258" spans="1:23" ht="15.75" customHeight="1">
      <c r="A258" s="250"/>
      <c r="B258" s="250"/>
      <c r="W258" s="250"/>
    </row>
    <row r="259" spans="1:23" ht="15.75" customHeight="1">
      <c r="A259" s="250"/>
      <c r="B259" s="250"/>
      <c r="W259" s="250"/>
    </row>
    <row r="260" spans="1:23" ht="15.75" customHeight="1">
      <c r="A260" s="250"/>
      <c r="B260" s="250"/>
      <c r="W260" s="250"/>
    </row>
    <row r="261" spans="1:23" ht="15.75" customHeight="1">
      <c r="A261" s="250"/>
      <c r="B261" s="250"/>
      <c r="W261" s="250"/>
    </row>
    <row r="262" spans="1:23" ht="15.75" customHeight="1">
      <c r="A262" s="250"/>
      <c r="B262" s="250"/>
      <c r="W262" s="250"/>
    </row>
    <row r="263" spans="1:23" ht="15.75" customHeight="1">
      <c r="A263" s="250"/>
      <c r="B263" s="250"/>
      <c r="W263" s="250"/>
    </row>
    <row r="264" spans="1:23" ht="15.75" customHeight="1">
      <c r="A264" s="250"/>
      <c r="B264" s="250"/>
      <c r="W264" s="250"/>
    </row>
    <row r="265" spans="1:23" ht="15.75" customHeight="1">
      <c r="A265" s="250"/>
      <c r="B265" s="250"/>
      <c r="W265" s="250"/>
    </row>
    <row r="266" spans="1:23" ht="15.75" customHeight="1">
      <c r="A266" s="250"/>
      <c r="B266" s="250"/>
      <c r="W266" s="250"/>
    </row>
    <row r="267" spans="1:23" ht="15.75" customHeight="1">
      <c r="A267" s="250"/>
      <c r="B267" s="250"/>
      <c r="W267" s="250"/>
    </row>
    <row r="268" spans="1:23" ht="15.75" customHeight="1">
      <c r="A268" s="250"/>
      <c r="B268" s="250"/>
      <c r="W268" s="250"/>
    </row>
    <row r="269" spans="1:23" ht="15.75" customHeight="1">
      <c r="A269" s="250"/>
      <c r="B269" s="250"/>
      <c r="W269" s="250"/>
    </row>
    <row r="270" spans="1:23" ht="15.75" customHeight="1">
      <c r="A270" s="250"/>
      <c r="B270" s="250"/>
      <c r="W270" s="250"/>
    </row>
    <row r="271" spans="1:23" ht="15.75" customHeight="1">
      <c r="A271" s="250"/>
      <c r="B271" s="250"/>
      <c r="W271" s="250"/>
    </row>
    <row r="272" spans="1:23" ht="15.75" customHeight="1">
      <c r="A272" s="250"/>
      <c r="B272" s="250"/>
      <c r="W272" s="250"/>
    </row>
    <row r="273" spans="1:23" ht="15.75" customHeight="1">
      <c r="A273" s="250"/>
      <c r="B273" s="250"/>
      <c r="W273" s="250"/>
    </row>
    <row r="274" spans="1:23" ht="15.75" customHeight="1">
      <c r="A274" s="250"/>
      <c r="B274" s="250"/>
      <c r="W274" s="250"/>
    </row>
    <row r="275" spans="1:23" ht="15.75" customHeight="1">
      <c r="A275" s="250"/>
      <c r="B275" s="250"/>
      <c r="W275" s="250"/>
    </row>
    <row r="276" spans="1:23" ht="15.75" customHeight="1">
      <c r="A276" s="250"/>
      <c r="B276" s="250"/>
      <c r="W276" s="250"/>
    </row>
    <row r="277" spans="1:23" ht="15.75" customHeight="1">
      <c r="A277" s="250"/>
      <c r="B277" s="250"/>
      <c r="W277" s="250"/>
    </row>
    <row r="278" spans="1:23" ht="15.75" customHeight="1">
      <c r="A278" s="250"/>
      <c r="B278" s="250"/>
      <c r="W278" s="250"/>
    </row>
    <row r="279" spans="1:23" ht="15.75" customHeight="1">
      <c r="A279" s="250"/>
      <c r="B279" s="250"/>
      <c r="W279" s="250"/>
    </row>
    <row r="280" spans="1:23" ht="15.75" customHeight="1">
      <c r="A280" s="250"/>
      <c r="B280" s="250"/>
      <c r="W280" s="250"/>
    </row>
    <row r="281" spans="1:23" ht="15.75" customHeight="1">
      <c r="A281" s="250"/>
      <c r="B281" s="250"/>
      <c r="W281" s="250"/>
    </row>
    <row r="282" spans="1:23" ht="15.75" customHeight="1">
      <c r="A282" s="250"/>
      <c r="B282" s="250"/>
      <c r="W282" s="250"/>
    </row>
    <row r="283" spans="1:23" ht="15.75" customHeight="1">
      <c r="A283" s="250"/>
      <c r="B283" s="250"/>
      <c r="W283" s="250"/>
    </row>
    <row r="284" spans="1:23" ht="15.75" customHeight="1">
      <c r="A284" s="250"/>
      <c r="B284" s="250"/>
      <c r="W284" s="250"/>
    </row>
    <row r="285" spans="1:23" ht="15.75" customHeight="1">
      <c r="A285" s="250"/>
      <c r="B285" s="250"/>
      <c r="W285" s="250"/>
    </row>
    <row r="286" spans="1:23" ht="15.75" customHeight="1">
      <c r="A286" s="250"/>
      <c r="B286" s="250"/>
      <c r="W286" s="250"/>
    </row>
    <row r="287" spans="1:23" ht="15.75" customHeight="1">
      <c r="A287" s="250"/>
      <c r="B287" s="250"/>
      <c r="W287" s="250"/>
    </row>
    <row r="288" spans="1:23" ht="15.75" customHeight="1">
      <c r="A288" s="250"/>
      <c r="B288" s="250"/>
      <c r="W288" s="250"/>
    </row>
    <row r="289" spans="1:23" ht="15.75" customHeight="1">
      <c r="A289" s="250"/>
      <c r="B289" s="250"/>
      <c r="W289" s="250"/>
    </row>
    <row r="290" spans="1:23" ht="15.75" customHeight="1">
      <c r="A290" s="250"/>
      <c r="B290" s="250"/>
      <c r="W290" s="250"/>
    </row>
    <row r="291" spans="1:23" ht="15.75" customHeight="1">
      <c r="A291" s="250"/>
      <c r="B291" s="250"/>
      <c r="W291" s="250"/>
    </row>
    <row r="292" spans="1:23" ht="15.75" customHeight="1">
      <c r="A292" s="250"/>
      <c r="B292" s="250"/>
      <c r="W292" s="250"/>
    </row>
    <row r="293" spans="1:23" ht="15.75" customHeight="1">
      <c r="A293" s="250"/>
      <c r="B293" s="250"/>
      <c r="W293" s="250"/>
    </row>
    <row r="294" spans="1:23" ht="15.75" customHeight="1">
      <c r="A294" s="250"/>
      <c r="B294" s="250"/>
      <c r="W294" s="250"/>
    </row>
    <row r="295" spans="1:23" ht="15.75" customHeight="1">
      <c r="A295" s="250"/>
      <c r="B295" s="250"/>
      <c r="W295" s="250"/>
    </row>
    <row r="296" spans="1:23" ht="15.75" customHeight="1">
      <c r="A296" s="250"/>
      <c r="B296" s="250"/>
      <c r="W296" s="250"/>
    </row>
    <row r="297" spans="1:23" ht="15.75" customHeight="1">
      <c r="A297" s="250"/>
      <c r="B297" s="250"/>
      <c r="W297" s="250"/>
    </row>
    <row r="298" spans="1:23" ht="15.75" customHeight="1">
      <c r="A298" s="250"/>
      <c r="B298" s="250"/>
      <c r="W298" s="250"/>
    </row>
    <row r="299" spans="1:23" ht="15.75" customHeight="1">
      <c r="A299" s="250"/>
      <c r="B299" s="250"/>
      <c r="W299" s="250"/>
    </row>
    <row r="300" spans="1:23" ht="15.75" customHeight="1">
      <c r="A300" s="250"/>
      <c r="B300" s="250"/>
      <c r="W300" s="250"/>
    </row>
    <row r="301" spans="1:23" ht="15.75" customHeight="1">
      <c r="A301" s="250"/>
      <c r="B301" s="250"/>
      <c r="W301" s="250"/>
    </row>
    <row r="302" spans="1:23" ht="15.75" customHeight="1">
      <c r="A302" s="250"/>
      <c r="B302" s="250"/>
      <c r="W302" s="250"/>
    </row>
    <row r="303" spans="1:23" ht="15.75" customHeight="1">
      <c r="A303" s="250"/>
      <c r="B303" s="250"/>
      <c r="W303" s="250"/>
    </row>
    <row r="304" spans="1:23" ht="15.75" customHeight="1">
      <c r="A304" s="250"/>
      <c r="B304" s="250"/>
      <c r="W304" s="250"/>
    </row>
    <row r="305" spans="1:23" ht="15.75" customHeight="1">
      <c r="A305" s="250"/>
      <c r="B305" s="250"/>
      <c r="W305" s="250"/>
    </row>
    <row r="306" spans="1:23" ht="15.75" customHeight="1">
      <c r="A306" s="250"/>
      <c r="B306" s="250"/>
      <c r="W306" s="250"/>
    </row>
    <row r="307" spans="1:23" ht="15.75" customHeight="1">
      <c r="A307" s="250"/>
      <c r="B307" s="250"/>
      <c r="W307" s="250"/>
    </row>
    <row r="308" spans="1:23" ht="15.75" customHeight="1">
      <c r="A308" s="250"/>
      <c r="B308" s="250"/>
      <c r="W308" s="250"/>
    </row>
    <row r="309" spans="1:23" ht="15.75" customHeight="1">
      <c r="A309" s="250"/>
      <c r="B309" s="250"/>
      <c r="W309" s="250"/>
    </row>
    <row r="310" spans="1:23" ht="15.75" customHeight="1">
      <c r="A310" s="250"/>
      <c r="B310" s="250"/>
      <c r="W310" s="250"/>
    </row>
    <row r="311" spans="1:23" ht="15.75" customHeight="1">
      <c r="A311" s="250"/>
      <c r="B311" s="250"/>
      <c r="W311" s="250"/>
    </row>
    <row r="312" spans="1:23" ht="15.75" customHeight="1">
      <c r="A312" s="250"/>
      <c r="B312" s="250"/>
      <c r="W312" s="250"/>
    </row>
    <row r="313" spans="1:23" ht="15.75" customHeight="1">
      <c r="A313" s="250"/>
      <c r="B313" s="250"/>
      <c r="W313" s="250"/>
    </row>
    <row r="314" spans="1:23" ht="15.75" customHeight="1">
      <c r="A314" s="250"/>
      <c r="B314" s="250"/>
      <c r="W314" s="250"/>
    </row>
    <row r="315" spans="1:23" ht="15.75" customHeight="1">
      <c r="A315" s="250"/>
      <c r="B315" s="250"/>
      <c r="W315" s="250"/>
    </row>
    <row r="316" spans="1:23" ht="15.75" customHeight="1">
      <c r="A316" s="250"/>
      <c r="B316" s="250"/>
      <c r="W316" s="250"/>
    </row>
    <row r="317" spans="1:23" ht="15.75" customHeight="1">
      <c r="A317" s="250"/>
      <c r="B317" s="250"/>
      <c r="W317" s="250"/>
    </row>
    <row r="318" spans="1:23" ht="15.75" customHeight="1">
      <c r="A318" s="250"/>
      <c r="B318" s="250"/>
      <c r="W318" s="250"/>
    </row>
    <row r="319" spans="1:23" ht="15.75" customHeight="1">
      <c r="A319" s="250"/>
      <c r="B319" s="250"/>
      <c r="W319" s="250"/>
    </row>
    <row r="320" spans="1:23" ht="15.75" customHeight="1">
      <c r="A320" s="250"/>
      <c r="B320" s="250"/>
      <c r="W320" s="250"/>
    </row>
    <row r="321" spans="1:23" ht="15.75" customHeight="1">
      <c r="A321" s="250"/>
      <c r="B321" s="250"/>
      <c r="W321" s="250"/>
    </row>
    <row r="322" spans="1:23" ht="15.75" customHeight="1">
      <c r="A322" s="250"/>
      <c r="B322" s="250"/>
      <c r="W322" s="250"/>
    </row>
    <row r="323" spans="1:23" ht="15.75" customHeight="1">
      <c r="A323" s="250"/>
      <c r="B323" s="250"/>
      <c r="W323" s="250"/>
    </row>
    <row r="324" spans="1:23" ht="15.75" customHeight="1">
      <c r="A324" s="250"/>
      <c r="B324" s="250"/>
      <c r="W324" s="250"/>
    </row>
    <row r="325" spans="1:23" ht="15.75" customHeight="1">
      <c r="A325" s="250"/>
      <c r="B325" s="250"/>
      <c r="W325" s="250"/>
    </row>
    <row r="326" spans="1:23" ht="15.75" customHeight="1">
      <c r="A326" s="250"/>
      <c r="B326" s="250"/>
      <c r="W326" s="250"/>
    </row>
    <row r="327" spans="1:23" ht="15.75" customHeight="1">
      <c r="A327" s="250"/>
      <c r="B327" s="250"/>
      <c r="W327" s="250"/>
    </row>
    <row r="328" spans="1:23" ht="15.75" customHeight="1">
      <c r="A328" s="250"/>
      <c r="B328" s="250"/>
      <c r="W328" s="250"/>
    </row>
    <row r="329" spans="1:23" ht="15.75" customHeight="1">
      <c r="A329" s="250"/>
      <c r="B329" s="250"/>
      <c r="W329" s="250"/>
    </row>
    <row r="330" spans="1:23" ht="15.75" customHeight="1">
      <c r="A330" s="250"/>
      <c r="B330" s="250"/>
      <c r="W330" s="250"/>
    </row>
    <row r="331" spans="1:23" ht="15.75" customHeight="1">
      <c r="A331" s="250"/>
      <c r="B331" s="250"/>
      <c r="W331" s="250"/>
    </row>
    <row r="332" spans="1:23" ht="15.75" customHeight="1">
      <c r="A332" s="250"/>
      <c r="B332" s="250"/>
      <c r="W332" s="250"/>
    </row>
    <row r="333" spans="1:23" ht="15.75" customHeight="1">
      <c r="A333" s="250"/>
      <c r="B333" s="250"/>
      <c r="W333" s="250"/>
    </row>
    <row r="334" spans="1:23" ht="15.75" customHeight="1">
      <c r="A334" s="250"/>
      <c r="B334" s="250"/>
      <c r="W334" s="250"/>
    </row>
    <row r="335" spans="1:23" ht="15.75" customHeight="1">
      <c r="A335" s="250"/>
      <c r="B335" s="250"/>
      <c r="W335" s="250"/>
    </row>
    <row r="336" spans="1:23" ht="15.75" customHeight="1">
      <c r="A336" s="250"/>
      <c r="B336" s="250"/>
      <c r="W336" s="250"/>
    </row>
    <row r="337" spans="1:23" ht="15.75" customHeight="1">
      <c r="A337" s="250"/>
      <c r="B337" s="250"/>
      <c r="W337" s="250"/>
    </row>
    <row r="338" spans="1:23" ht="15.75" customHeight="1">
      <c r="A338" s="250"/>
      <c r="B338" s="250"/>
      <c r="W338" s="250"/>
    </row>
    <row r="339" spans="1:23" ht="15.75" customHeight="1">
      <c r="A339" s="250"/>
      <c r="B339" s="250"/>
      <c r="W339" s="250"/>
    </row>
    <row r="340" spans="1:23" ht="15.75" customHeight="1">
      <c r="A340" s="250"/>
      <c r="B340" s="250"/>
      <c r="W340" s="250"/>
    </row>
    <row r="341" spans="1:23" ht="15.75" customHeight="1">
      <c r="A341" s="250"/>
      <c r="B341" s="250"/>
      <c r="W341" s="250"/>
    </row>
    <row r="342" spans="1:23" ht="15.75" customHeight="1">
      <c r="A342" s="250"/>
      <c r="B342" s="250"/>
      <c r="W342" s="250"/>
    </row>
    <row r="343" spans="1:23" ht="15.75" customHeight="1">
      <c r="A343" s="250"/>
      <c r="B343" s="250"/>
      <c r="W343" s="250"/>
    </row>
    <row r="344" spans="1:23" ht="15.75" customHeight="1">
      <c r="A344" s="250"/>
      <c r="B344" s="250"/>
      <c r="W344" s="250"/>
    </row>
    <row r="345" spans="1:23" ht="15.75" customHeight="1">
      <c r="A345" s="250"/>
      <c r="B345" s="250"/>
      <c r="W345" s="250"/>
    </row>
    <row r="346" spans="1:23" ht="15.75" customHeight="1">
      <c r="A346" s="250"/>
      <c r="B346" s="250"/>
      <c r="W346" s="250"/>
    </row>
    <row r="347" spans="1:23" ht="15.75" customHeight="1">
      <c r="A347" s="250"/>
      <c r="B347" s="250"/>
      <c r="W347" s="250"/>
    </row>
    <row r="348" spans="1:23" ht="15.75" customHeight="1">
      <c r="A348" s="250"/>
      <c r="B348" s="250"/>
      <c r="W348" s="250"/>
    </row>
    <row r="349" spans="1:23" ht="15.75" customHeight="1">
      <c r="A349" s="250"/>
      <c r="B349" s="250"/>
      <c r="W349" s="250"/>
    </row>
    <row r="350" spans="1:23" ht="15.75" customHeight="1">
      <c r="A350" s="250"/>
      <c r="B350" s="250"/>
      <c r="W350" s="250"/>
    </row>
    <row r="351" spans="1:23" ht="15.75" customHeight="1">
      <c r="A351" s="250"/>
      <c r="B351" s="250"/>
      <c r="W351" s="250"/>
    </row>
    <row r="352" spans="1:23" ht="15.75" customHeight="1">
      <c r="A352" s="250"/>
      <c r="B352" s="250"/>
      <c r="W352" s="250"/>
    </row>
    <row r="353" spans="1:23" ht="15.75" customHeight="1">
      <c r="A353" s="250"/>
      <c r="B353" s="250"/>
      <c r="W353" s="250"/>
    </row>
    <row r="354" spans="1:23" ht="15.75" customHeight="1">
      <c r="A354" s="250"/>
      <c r="B354" s="250"/>
      <c r="W354" s="250"/>
    </row>
    <row r="355" spans="1:23" ht="15.75" customHeight="1">
      <c r="A355" s="250"/>
      <c r="B355" s="250"/>
      <c r="W355" s="250"/>
    </row>
    <row r="356" spans="1:23" ht="15.75" customHeight="1">
      <c r="A356" s="250"/>
      <c r="B356" s="250"/>
      <c r="W356" s="250"/>
    </row>
    <row r="357" spans="1:23" ht="15.75" customHeight="1">
      <c r="A357" s="250"/>
      <c r="B357" s="250"/>
      <c r="W357" s="250"/>
    </row>
    <row r="358" spans="1:23" ht="15.75" customHeight="1">
      <c r="A358" s="250"/>
      <c r="B358" s="250"/>
      <c r="W358" s="250"/>
    </row>
    <row r="359" spans="1:23" ht="15.75" customHeight="1">
      <c r="A359" s="250"/>
      <c r="B359" s="250"/>
      <c r="W359" s="250"/>
    </row>
    <row r="360" spans="1:23" ht="15.75" customHeight="1">
      <c r="A360" s="250"/>
      <c r="B360" s="250"/>
      <c r="W360" s="250"/>
    </row>
    <row r="361" spans="1:23" ht="15.75" customHeight="1">
      <c r="A361" s="250"/>
      <c r="B361" s="250"/>
      <c r="W361" s="250"/>
    </row>
    <row r="362" spans="1:23" ht="15.75" customHeight="1">
      <c r="A362" s="250"/>
      <c r="B362" s="250"/>
      <c r="W362" s="250"/>
    </row>
    <row r="363" spans="1:23" ht="15.75" customHeight="1">
      <c r="A363" s="250"/>
      <c r="B363" s="250"/>
      <c r="W363" s="250"/>
    </row>
    <row r="364" spans="1:23" ht="15.75" customHeight="1">
      <c r="A364" s="250"/>
      <c r="B364" s="250"/>
      <c r="W364" s="250"/>
    </row>
    <row r="365" spans="1:23" ht="15.75" customHeight="1">
      <c r="A365" s="250"/>
      <c r="B365" s="250"/>
      <c r="W365" s="250"/>
    </row>
    <row r="366" spans="1:23" ht="15.75" customHeight="1">
      <c r="A366" s="250"/>
      <c r="B366" s="250"/>
      <c r="W366" s="250"/>
    </row>
    <row r="367" spans="1:23" ht="15.75" customHeight="1">
      <c r="A367" s="250"/>
      <c r="B367" s="250"/>
      <c r="W367" s="250"/>
    </row>
    <row r="368" spans="1:23" ht="15.75" customHeight="1">
      <c r="A368" s="250"/>
      <c r="B368" s="250"/>
      <c r="W368" s="250"/>
    </row>
    <row r="369" spans="1:23" ht="15.75" customHeight="1">
      <c r="A369" s="250"/>
      <c r="B369" s="250"/>
      <c r="W369" s="250"/>
    </row>
    <row r="370" spans="1:23" ht="15.75" customHeight="1">
      <c r="A370" s="250"/>
      <c r="B370" s="250"/>
      <c r="W370" s="250"/>
    </row>
    <row r="371" spans="1:23" ht="15.75" customHeight="1">
      <c r="A371" s="250"/>
      <c r="B371" s="250"/>
      <c r="W371" s="250"/>
    </row>
    <row r="372" spans="1:23" ht="15.75" customHeight="1">
      <c r="A372" s="250"/>
      <c r="B372" s="250"/>
      <c r="W372" s="250"/>
    </row>
    <row r="373" spans="1:23" ht="15.75" customHeight="1">
      <c r="A373" s="250"/>
      <c r="B373" s="250"/>
      <c r="W373" s="250"/>
    </row>
    <row r="374" spans="1:23" ht="15.75" customHeight="1">
      <c r="A374" s="250"/>
      <c r="B374" s="250"/>
      <c r="W374" s="250"/>
    </row>
    <row r="375" spans="1:23" ht="15.75" customHeight="1">
      <c r="A375" s="250"/>
      <c r="B375" s="250"/>
      <c r="W375" s="250"/>
    </row>
    <row r="376" spans="1:23" ht="15.75" customHeight="1">
      <c r="A376" s="250"/>
      <c r="B376" s="250"/>
      <c r="W376" s="250"/>
    </row>
    <row r="377" spans="1:23" ht="15.75" customHeight="1">
      <c r="A377" s="250"/>
      <c r="B377" s="250"/>
      <c r="W377" s="250"/>
    </row>
    <row r="378" spans="1:23" ht="15.75" customHeight="1">
      <c r="A378" s="250"/>
      <c r="B378" s="250"/>
      <c r="W378" s="250"/>
    </row>
    <row r="379" spans="1:23" ht="15.75" customHeight="1">
      <c r="A379" s="250"/>
      <c r="B379" s="250"/>
      <c r="W379" s="250"/>
    </row>
    <row r="380" spans="1:23" ht="15.75" customHeight="1">
      <c r="A380" s="250"/>
      <c r="B380" s="250"/>
      <c r="W380" s="250"/>
    </row>
    <row r="381" spans="1:23" ht="15.75" customHeight="1">
      <c r="A381" s="250"/>
      <c r="B381" s="250"/>
      <c r="W381" s="250"/>
    </row>
    <row r="382" spans="1:23" ht="15.75" customHeight="1">
      <c r="A382" s="250"/>
      <c r="B382" s="250"/>
      <c r="W382" s="250"/>
    </row>
    <row r="383" spans="1:23" ht="15.75" customHeight="1">
      <c r="A383" s="250"/>
      <c r="B383" s="250"/>
      <c r="W383" s="250"/>
    </row>
    <row r="384" spans="1:23" ht="15.75" customHeight="1">
      <c r="A384" s="250"/>
      <c r="B384" s="250"/>
      <c r="W384" s="250"/>
    </row>
    <row r="385" spans="1:23" ht="15.75" customHeight="1">
      <c r="A385" s="250"/>
      <c r="B385" s="250"/>
      <c r="W385" s="250"/>
    </row>
    <row r="386" spans="1:23" ht="15.75" customHeight="1">
      <c r="A386" s="250"/>
      <c r="B386" s="250"/>
      <c r="W386" s="250"/>
    </row>
    <row r="387" spans="1:23" ht="15.75" customHeight="1">
      <c r="A387" s="250"/>
      <c r="B387" s="250"/>
      <c r="W387" s="250"/>
    </row>
    <row r="388" spans="1:23" ht="15.75" customHeight="1">
      <c r="A388" s="250"/>
      <c r="B388" s="250"/>
      <c r="W388" s="250"/>
    </row>
    <row r="389" spans="1:23" ht="15.75" customHeight="1">
      <c r="A389" s="250"/>
      <c r="B389" s="250"/>
      <c r="W389" s="250"/>
    </row>
    <row r="390" spans="1:23" ht="15.75" customHeight="1">
      <c r="A390" s="250"/>
      <c r="B390" s="250"/>
      <c r="W390" s="250"/>
    </row>
    <row r="391" spans="1:23" ht="15.75" customHeight="1">
      <c r="A391" s="250"/>
      <c r="B391" s="250"/>
      <c r="W391" s="250"/>
    </row>
    <row r="392" spans="1:23" ht="15.75" customHeight="1">
      <c r="A392" s="250"/>
      <c r="B392" s="250"/>
      <c r="W392" s="250"/>
    </row>
    <row r="393" spans="1:23" ht="15.75" customHeight="1">
      <c r="A393" s="250"/>
      <c r="B393" s="250"/>
      <c r="W393" s="250"/>
    </row>
    <row r="394" spans="1:23" ht="15.75" customHeight="1">
      <c r="A394" s="250"/>
      <c r="B394" s="250"/>
      <c r="W394" s="250"/>
    </row>
    <row r="395" spans="1:23" ht="15.75" customHeight="1">
      <c r="A395" s="250"/>
      <c r="B395" s="250"/>
      <c r="W395" s="250"/>
    </row>
    <row r="396" spans="1:23" ht="15.75" customHeight="1">
      <c r="A396" s="250"/>
      <c r="B396" s="250"/>
      <c r="W396" s="250"/>
    </row>
    <row r="397" spans="1:23" ht="15.75" customHeight="1">
      <c r="A397" s="250"/>
      <c r="B397" s="250"/>
      <c r="W397" s="250"/>
    </row>
    <row r="398" spans="1:23" ht="15.75" customHeight="1">
      <c r="A398" s="250"/>
      <c r="B398" s="250"/>
      <c r="W398" s="250"/>
    </row>
    <row r="399" spans="1:23" ht="15.75" customHeight="1">
      <c r="A399" s="250"/>
      <c r="B399" s="250"/>
      <c r="W399" s="250"/>
    </row>
    <row r="400" spans="1:23" ht="15.75" customHeight="1">
      <c r="A400" s="250"/>
      <c r="B400" s="250"/>
      <c r="W400" s="250"/>
    </row>
    <row r="401" spans="1:23" ht="15.75" customHeight="1">
      <c r="A401" s="250"/>
      <c r="B401" s="250"/>
      <c r="W401" s="250"/>
    </row>
    <row r="402" spans="1:23" ht="15.75" customHeight="1">
      <c r="A402" s="250"/>
      <c r="B402" s="250"/>
      <c r="W402" s="250"/>
    </row>
    <row r="403" spans="1:23" ht="15.75" customHeight="1">
      <c r="A403" s="250"/>
      <c r="B403" s="250"/>
      <c r="W403" s="250"/>
    </row>
    <row r="404" spans="1:23" ht="15.75" customHeight="1">
      <c r="A404" s="250"/>
      <c r="B404" s="250"/>
      <c r="W404" s="250"/>
    </row>
    <row r="405" spans="1:23" ht="15.75" customHeight="1">
      <c r="A405" s="250"/>
      <c r="B405" s="250"/>
      <c r="W405" s="250"/>
    </row>
    <row r="406" spans="1:23" ht="15.75" customHeight="1">
      <c r="A406" s="250"/>
      <c r="B406" s="250"/>
      <c r="W406" s="250"/>
    </row>
    <row r="407" spans="1:23" ht="15.75" customHeight="1">
      <c r="A407" s="250"/>
      <c r="B407" s="250"/>
      <c r="W407" s="250"/>
    </row>
    <row r="408" spans="1:23" ht="15.75" customHeight="1">
      <c r="A408" s="250"/>
      <c r="B408" s="250"/>
      <c r="W408" s="250"/>
    </row>
    <row r="409" spans="1:23" ht="15.75" customHeight="1">
      <c r="A409" s="250"/>
      <c r="B409" s="250"/>
      <c r="W409" s="250"/>
    </row>
    <row r="410" spans="1:23" ht="15.75" customHeight="1">
      <c r="A410" s="250"/>
      <c r="B410" s="250"/>
      <c r="W410" s="250"/>
    </row>
    <row r="411" spans="1:23" ht="15.75" customHeight="1">
      <c r="A411" s="250"/>
      <c r="B411" s="250"/>
      <c r="W411" s="250"/>
    </row>
    <row r="412" spans="1:23" ht="15.75" customHeight="1">
      <c r="A412" s="250"/>
      <c r="B412" s="250"/>
      <c r="W412" s="250"/>
    </row>
    <row r="413" spans="1:23" ht="15.75" customHeight="1">
      <c r="A413" s="250"/>
      <c r="B413" s="250"/>
      <c r="W413" s="250"/>
    </row>
    <row r="414" spans="1:23" ht="15.75" customHeight="1">
      <c r="A414" s="250"/>
      <c r="B414" s="250"/>
      <c r="W414" s="250"/>
    </row>
    <row r="415" spans="1:23" ht="15.75" customHeight="1">
      <c r="A415" s="250"/>
      <c r="B415" s="250"/>
      <c r="W415" s="250"/>
    </row>
    <row r="416" spans="1:23" ht="15.75" customHeight="1">
      <c r="A416" s="250"/>
      <c r="B416" s="250"/>
      <c r="W416" s="250"/>
    </row>
    <row r="417" spans="1:23" ht="15.75" customHeight="1">
      <c r="A417" s="250"/>
      <c r="B417" s="250"/>
      <c r="W417" s="250"/>
    </row>
    <row r="418" spans="1:23" ht="15.75" customHeight="1">
      <c r="A418" s="250"/>
      <c r="B418" s="250"/>
      <c r="W418" s="250"/>
    </row>
    <row r="419" spans="1:23" ht="15.75" customHeight="1">
      <c r="A419" s="250"/>
      <c r="B419" s="250"/>
      <c r="W419" s="250"/>
    </row>
    <row r="420" spans="1:23" ht="15.75" customHeight="1">
      <c r="A420" s="250"/>
      <c r="B420" s="250"/>
      <c r="W420" s="250"/>
    </row>
    <row r="421" spans="1:23" ht="15.75" customHeight="1">
      <c r="A421" s="250"/>
      <c r="B421" s="250"/>
      <c r="W421" s="250"/>
    </row>
    <row r="422" spans="1:23" ht="15.75" customHeight="1">
      <c r="A422" s="250"/>
      <c r="B422" s="250"/>
      <c r="W422" s="250"/>
    </row>
    <row r="423" spans="1:23" ht="15.75" customHeight="1">
      <c r="A423" s="250"/>
      <c r="B423" s="250"/>
      <c r="W423" s="250"/>
    </row>
    <row r="424" spans="1:23" ht="15.75" customHeight="1">
      <c r="A424" s="250"/>
      <c r="B424" s="250"/>
      <c r="W424" s="250"/>
    </row>
    <row r="425" spans="1:23" ht="15.75" customHeight="1">
      <c r="A425" s="250"/>
      <c r="B425" s="250"/>
      <c r="W425" s="250"/>
    </row>
    <row r="426" spans="1:23" ht="15.75" customHeight="1">
      <c r="A426" s="250"/>
      <c r="B426" s="250"/>
      <c r="W426" s="250"/>
    </row>
    <row r="427" spans="1:23" ht="15.75" customHeight="1">
      <c r="A427" s="250"/>
      <c r="B427" s="250"/>
      <c r="W427" s="250"/>
    </row>
    <row r="428" spans="1:23" ht="15.75" customHeight="1">
      <c r="A428" s="250"/>
      <c r="B428" s="250"/>
      <c r="W428" s="250"/>
    </row>
    <row r="429" spans="1:23" ht="15.75" customHeight="1">
      <c r="A429" s="250"/>
      <c r="B429" s="250"/>
      <c r="W429" s="250"/>
    </row>
    <row r="430" spans="1:23" ht="15.75" customHeight="1">
      <c r="A430" s="250"/>
      <c r="B430" s="250"/>
      <c r="W430" s="250"/>
    </row>
    <row r="431" spans="1:23" ht="15.75" customHeight="1">
      <c r="A431" s="250"/>
      <c r="B431" s="250"/>
      <c r="W431" s="250"/>
    </row>
    <row r="432" spans="1:23" ht="15.75" customHeight="1">
      <c r="A432" s="250"/>
      <c r="B432" s="250"/>
      <c r="W432" s="250"/>
    </row>
    <row r="433" spans="1:23" ht="15.75" customHeight="1">
      <c r="A433" s="250"/>
      <c r="B433" s="250"/>
      <c r="W433" s="250"/>
    </row>
    <row r="434" spans="1:23" ht="15.75" customHeight="1">
      <c r="A434" s="250"/>
      <c r="B434" s="250"/>
      <c r="W434" s="250"/>
    </row>
    <row r="435" spans="1:23" ht="15.75" customHeight="1">
      <c r="A435" s="250"/>
      <c r="B435" s="250"/>
      <c r="W435" s="250"/>
    </row>
    <row r="436" spans="1:23" ht="15.75" customHeight="1">
      <c r="A436" s="250"/>
      <c r="B436" s="250"/>
      <c r="W436" s="250"/>
    </row>
    <row r="437" spans="1:23" ht="15.75" customHeight="1">
      <c r="A437" s="250"/>
      <c r="B437" s="250"/>
      <c r="W437" s="250"/>
    </row>
    <row r="438" spans="1:23" ht="15.75" customHeight="1">
      <c r="A438" s="250"/>
      <c r="B438" s="250"/>
      <c r="W438" s="250"/>
    </row>
    <row r="439" spans="1:23" ht="15.75" customHeight="1">
      <c r="A439" s="250"/>
      <c r="B439" s="250"/>
      <c r="W439" s="250"/>
    </row>
    <row r="440" spans="1:23" ht="15.75" customHeight="1">
      <c r="A440" s="250"/>
      <c r="B440" s="250"/>
      <c r="W440" s="250"/>
    </row>
    <row r="441" spans="1:23" ht="15.75" customHeight="1">
      <c r="A441" s="250"/>
      <c r="B441" s="250"/>
      <c r="W441" s="250"/>
    </row>
    <row r="442" spans="1:23" ht="15.75" customHeight="1">
      <c r="A442" s="250"/>
      <c r="B442" s="250"/>
      <c r="W442" s="250"/>
    </row>
    <row r="443" spans="1:23" ht="15.75" customHeight="1">
      <c r="A443" s="250"/>
      <c r="B443" s="250"/>
      <c r="W443" s="250"/>
    </row>
    <row r="444" spans="1:23" ht="15.75" customHeight="1">
      <c r="A444" s="250"/>
      <c r="B444" s="250"/>
      <c r="W444" s="250"/>
    </row>
    <row r="445" spans="1:23" ht="15.75" customHeight="1">
      <c r="A445" s="250"/>
      <c r="B445" s="250"/>
      <c r="W445" s="250"/>
    </row>
    <row r="446" spans="1:23" ht="15.75" customHeight="1">
      <c r="A446" s="250"/>
      <c r="B446" s="250"/>
      <c r="W446" s="250"/>
    </row>
    <row r="447" spans="1:23" ht="15.75" customHeight="1">
      <c r="A447" s="250"/>
      <c r="B447" s="250"/>
      <c r="W447" s="250"/>
    </row>
    <row r="448" spans="1:23" ht="15.75" customHeight="1">
      <c r="A448" s="250"/>
      <c r="B448" s="250"/>
      <c r="W448" s="250"/>
    </row>
    <row r="449" spans="1:23" ht="15.75" customHeight="1">
      <c r="A449" s="250"/>
      <c r="B449" s="250"/>
      <c r="W449" s="250"/>
    </row>
    <row r="450" spans="1:23" ht="15.75" customHeight="1">
      <c r="A450" s="250"/>
      <c r="B450" s="250"/>
      <c r="W450" s="250"/>
    </row>
    <row r="451" spans="1:23" ht="15.75" customHeight="1">
      <c r="A451" s="250"/>
      <c r="B451" s="250"/>
      <c r="W451" s="250"/>
    </row>
    <row r="452" spans="1:23" ht="15.75" customHeight="1">
      <c r="A452" s="250"/>
      <c r="B452" s="250"/>
      <c r="W452" s="250"/>
    </row>
    <row r="453" spans="1:23" ht="15.75" customHeight="1">
      <c r="A453" s="250"/>
      <c r="B453" s="250"/>
      <c r="W453" s="250"/>
    </row>
    <row r="454" spans="1:23" ht="15.75" customHeight="1">
      <c r="A454" s="250"/>
      <c r="B454" s="250"/>
      <c r="W454" s="250"/>
    </row>
    <row r="455" spans="1:23" ht="15.75" customHeight="1">
      <c r="A455" s="250"/>
      <c r="B455" s="250"/>
      <c r="W455" s="250"/>
    </row>
    <row r="456" spans="1:23" ht="15.75" customHeight="1">
      <c r="A456" s="250"/>
      <c r="B456" s="250"/>
      <c r="W456" s="250"/>
    </row>
    <row r="457" spans="1:23" ht="15.75" customHeight="1">
      <c r="A457" s="250"/>
      <c r="B457" s="250"/>
      <c r="W457" s="250"/>
    </row>
    <row r="458" spans="1:23" ht="15.75" customHeight="1">
      <c r="A458" s="250"/>
      <c r="B458" s="250"/>
      <c r="W458" s="250"/>
    </row>
    <row r="459" spans="1:23" ht="15.75" customHeight="1">
      <c r="A459" s="250"/>
      <c r="B459" s="250"/>
      <c r="W459" s="250"/>
    </row>
    <row r="460" spans="1:23" ht="15.75" customHeight="1">
      <c r="A460" s="250"/>
      <c r="B460" s="250"/>
      <c r="W460" s="250"/>
    </row>
    <row r="461" spans="1:23" ht="15.75" customHeight="1">
      <c r="A461" s="250"/>
      <c r="B461" s="250"/>
      <c r="W461" s="250"/>
    </row>
    <row r="462" spans="1:23" ht="15.75" customHeight="1">
      <c r="A462" s="250"/>
      <c r="B462" s="250"/>
      <c r="W462" s="250"/>
    </row>
    <row r="463" spans="1:23" ht="15.75" customHeight="1">
      <c r="A463" s="250"/>
      <c r="B463" s="250"/>
      <c r="W463" s="250"/>
    </row>
    <row r="464" spans="1:23" ht="15.75" customHeight="1">
      <c r="A464" s="250"/>
      <c r="B464" s="250"/>
      <c r="W464" s="250"/>
    </row>
    <row r="465" spans="1:23" ht="15.75" customHeight="1">
      <c r="A465" s="250"/>
      <c r="B465" s="250"/>
      <c r="W465" s="250"/>
    </row>
    <row r="466" spans="1:23" ht="15.75" customHeight="1">
      <c r="A466" s="250"/>
      <c r="B466" s="250"/>
      <c r="W466" s="250"/>
    </row>
    <row r="467" spans="1:23" ht="15.75" customHeight="1">
      <c r="A467" s="250"/>
      <c r="B467" s="250"/>
      <c r="W467" s="250"/>
    </row>
    <row r="468" spans="1:23" ht="15.75" customHeight="1">
      <c r="A468" s="250"/>
      <c r="B468" s="250"/>
      <c r="W468" s="250"/>
    </row>
    <row r="469" spans="1:23" ht="15.75" customHeight="1">
      <c r="A469" s="250"/>
      <c r="B469" s="250"/>
      <c r="W469" s="250"/>
    </row>
    <row r="470" spans="1:23" ht="15.75" customHeight="1">
      <c r="A470" s="250"/>
      <c r="B470" s="250"/>
      <c r="W470" s="250"/>
    </row>
    <row r="471" spans="1:23" ht="15.75" customHeight="1">
      <c r="A471" s="250"/>
      <c r="B471" s="250"/>
      <c r="W471" s="250"/>
    </row>
    <row r="472" spans="1:23" ht="15.75" customHeight="1">
      <c r="A472" s="250"/>
      <c r="B472" s="250"/>
      <c r="W472" s="250"/>
    </row>
    <row r="473" spans="1:23" ht="15.75" customHeight="1">
      <c r="A473" s="250"/>
      <c r="B473" s="250"/>
      <c r="W473" s="250"/>
    </row>
    <row r="474" spans="1:23" ht="15.75" customHeight="1">
      <c r="A474" s="250"/>
      <c r="B474" s="250"/>
      <c r="W474" s="250"/>
    </row>
    <row r="475" spans="1:23" ht="15.75" customHeight="1">
      <c r="A475" s="250"/>
      <c r="B475" s="250"/>
      <c r="W475" s="250"/>
    </row>
    <row r="476" spans="1:23" ht="15.75" customHeight="1">
      <c r="A476" s="250"/>
      <c r="B476" s="250"/>
      <c r="W476" s="250"/>
    </row>
    <row r="477" spans="1:23" ht="15.75" customHeight="1">
      <c r="A477" s="250"/>
      <c r="B477" s="250"/>
      <c r="W477" s="250"/>
    </row>
    <row r="478" spans="1:23" ht="15.75" customHeight="1">
      <c r="A478" s="250"/>
      <c r="B478" s="250"/>
      <c r="W478" s="250"/>
    </row>
    <row r="479" spans="1:23" ht="15.75" customHeight="1">
      <c r="A479" s="250"/>
      <c r="B479" s="250"/>
      <c r="W479" s="250"/>
    </row>
    <row r="480" spans="1:23" ht="15.75" customHeight="1">
      <c r="A480" s="250"/>
      <c r="B480" s="250"/>
      <c r="W480" s="250"/>
    </row>
    <row r="481" spans="1:23" ht="15.75" customHeight="1">
      <c r="A481" s="250"/>
      <c r="B481" s="250"/>
      <c r="W481" s="250"/>
    </row>
    <row r="482" spans="1:23" ht="15.75" customHeight="1">
      <c r="A482" s="250"/>
      <c r="B482" s="250"/>
      <c r="W482" s="250"/>
    </row>
    <row r="483" spans="1:23" ht="15.75" customHeight="1">
      <c r="A483" s="250"/>
      <c r="B483" s="250"/>
      <c r="W483" s="250"/>
    </row>
    <row r="484" spans="1:23" ht="15.75" customHeight="1">
      <c r="A484" s="250"/>
      <c r="B484" s="250"/>
      <c r="W484" s="250"/>
    </row>
    <row r="485" spans="1:23" ht="15.75" customHeight="1">
      <c r="A485" s="250"/>
      <c r="B485" s="250"/>
      <c r="W485" s="250"/>
    </row>
    <row r="486" spans="1:23" ht="15.75" customHeight="1">
      <c r="A486" s="250"/>
      <c r="B486" s="250"/>
      <c r="W486" s="250"/>
    </row>
    <row r="487" spans="1:23" ht="15.75" customHeight="1">
      <c r="A487" s="250"/>
      <c r="B487" s="250"/>
      <c r="W487" s="250"/>
    </row>
    <row r="488" spans="1:23" ht="15.75" customHeight="1">
      <c r="A488" s="250"/>
      <c r="B488" s="250"/>
      <c r="W488" s="250"/>
    </row>
    <row r="489" spans="1:23" ht="15.75" customHeight="1">
      <c r="A489" s="250"/>
      <c r="B489" s="250"/>
      <c r="W489" s="250"/>
    </row>
    <row r="490" spans="1:23" ht="15.75" customHeight="1">
      <c r="A490" s="250"/>
      <c r="B490" s="250"/>
      <c r="W490" s="250"/>
    </row>
    <row r="491" spans="1:23" ht="15.75" customHeight="1">
      <c r="A491" s="250"/>
      <c r="B491" s="250"/>
      <c r="W491" s="250"/>
    </row>
    <row r="492" spans="1:23" ht="15.75" customHeight="1">
      <c r="A492" s="250"/>
      <c r="B492" s="250"/>
      <c r="W492" s="250"/>
    </row>
    <row r="493" spans="1:23" ht="15.75" customHeight="1">
      <c r="A493" s="250"/>
      <c r="B493" s="250"/>
      <c r="W493" s="250"/>
    </row>
    <row r="494" spans="1:23" ht="15.75" customHeight="1">
      <c r="A494" s="250"/>
      <c r="B494" s="250"/>
      <c r="W494" s="250"/>
    </row>
    <row r="495" spans="1:23" ht="15.75" customHeight="1">
      <c r="A495" s="250"/>
      <c r="B495" s="250"/>
      <c r="W495" s="250"/>
    </row>
    <row r="496" spans="1:23" ht="15.75" customHeight="1">
      <c r="A496" s="250"/>
      <c r="B496" s="250"/>
      <c r="W496" s="250"/>
    </row>
    <row r="497" spans="1:23" ht="15.75" customHeight="1">
      <c r="A497" s="250"/>
      <c r="B497" s="250"/>
      <c r="W497" s="250"/>
    </row>
    <row r="498" spans="1:23" ht="15.75" customHeight="1">
      <c r="A498" s="250"/>
      <c r="B498" s="250"/>
      <c r="W498" s="250"/>
    </row>
    <row r="499" spans="1:23" ht="15.75" customHeight="1">
      <c r="A499" s="250"/>
      <c r="B499" s="250"/>
      <c r="W499" s="250"/>
    </row>
    <row r="500" spans="1:23" ht="15.75" customHeight="1">
      <c r="A500" s="250"/>
      <c r="B500" s="250"/>
      <c r="W500" s="250"/>
    </row>
    <row r="501" spans="1:23" ht="15.75" customHeight="1">
      <c r="A501" s="250"/>
      <c r="B501" s="250"/>
      <c r="W501" s="250"/>
    </row>
    <row r="502" spans="1:23" ht="15.75" customHeight="1">
      <c r="A502" s="250"/>
      <c r="B502" s="250"/>
      <c r="W502" s="250"/>
    </row>
    <row r="503" spans="1:23" ht="15.75" customHeight="1">
      <c r="A503" s="250"/>
      <c r="B503" s="250"/>
      <c r="W503" s="250"/>
    </row>
    <row r="504" spans="1:23" ht="15.75" customHeight="1">
      <c r="A504" s="250"/>
      <c r="B504" s="250"/>
      <c r="W504" s="250"/>
    </row>
    <row r="505" spans="1:23" ht="15.75" customHeight="1">
      <c r="A505" s="250"/>
      <c r="B505" s="250"/>
      <c r="W505" s="250"/>
    </row>
    <row r="506" spans="1:23" ht="15.75" customHeight="1">
      <c r="A506" s="250"/>
      <c r="B506" s="250"/>
      <c r="W506" s="250"/>
    </row>
    <row r="507" spans="1:23" ht="15.75" customHeight="1">
      <c r="A507" s="250"/>
      <c r="B507" s="250"/>
      <c r="W507" s="250"/>
    </row>
    <row r="508" spans="1:23" ht="15.75" customHeight="1">
      <c r="A508" s="250"/>
      <c r="B508" s="250"/>
      <c r="W508" s="250"/>
    </row>
    <row r="509" spans="1:23" ht="15.75" customHeight="1">
      <c r="A509" s="250"/>
      <c r="B509" s="250"/>
      <c r="W509" s="250"/>
    </row>
    <row r="510" spans="1:23" ht="15.75" customHeight="1">
      <c r="A510" s="250"/>
      <c r="B510" s="250"/>
      <c r="W510" s="250"/>
    </row>
    <row r="511" spans="1:23" ht="15.75" customHeight="1">
      <c r="A511" s="250"/>
      <c r="B511" s="250"/>
      <c r="W511" s="250"/>
    </row>
    <row r="512" spans="1:23" ht="15.75" customHeight="1">
      <c r="A512" s="250"/>
      <c r="B512" s="250"/>
      <c r="W512" s="250"/>
    </row>
    <row r="513" spans="1:23" ht="15.75" customHeight="1">
      <c r="A513" s="250"/>
      <c r="B513" s="250"/>
      <c r="W513" s="250"/>
    </row>
    <row r="514" spans="1:23" ht="15.75" customHeight="1">
      <c r="A514" s="250"/>
      <c r="B514" s="250"/>
      <c r="W514" s="250"/>
    </row>
    <row r="515" spans="1:23" ht="15.75" customHeight="1">
      <c r="A515" s="250"/>
      <c r="B515" s="250"/>
      <c r="W515" s="250"/>
    </row>
    <row r="516" spans="1:23" ht="15.75" customHeight="1">
      <c r="A516" s="250"/>
      <c r="B516" s="250"/>
      <c r="W516" s="250"/>
    </row>
    <row r="517" spans="1:23" ht="15.75" customHeight="1">
      <c r="A517" s="250"/>
      <c r="B517" s="250"/>
      <c r="W517" s="250"/>
    </row>
    <row r="518" spans="1:23" ht="15.75" customHeight="1">
      <c r="A518" s="250"/>
      <c r="B518" s="250"/>
      <c r="W518" s="250"/>
    </row>
    <row r="519" spans="1:23" ht="15.75" customHeight="1">
      <c r="A519" s="250"/>
      <c r="B519" s="250"/>
      <c r="W519" s="250"/>
    </row>
    <row r="520" spans="1:23" ht="15.75" customHeight="1">
      <c r="A520" s="250"/>
      <c r="B520" s="250"/>
      <c r="W520" s="250"/>
    </row>
    <row r="521" spans="1:23" ht="15.75" customHeight="1">
      <c r="A521" s="250"/>
      <c r="B521" s="250"/>
      <c r="W521" s="250"/>
    </row>
    <row r="522" spans="1:23" ht="15.75" customHeight="1">
      <c r="A522" s="250"/>
      <c r="B522" s="250"/>
      <c r="W522" s="250"/>
    </row>
    <row r="523" spans="1:23" ht="15.75" customHeight="1">
      <c r="A523" s="250"/>
      <c r="B523" s="250"/>
      <c r="W523" s="250"/>
    </row>
    <row r="524" spans="1:23" ht="15.75" customHeight="1">
      <c r="A524" s="250"/>
      <c r="B524" s="250"/>
      <c r="W524" s="250"/>
    </row>
    <row r="525" spans="1:23" ht="15.75" customHeight="1">
      <c r="A525" s="250"/>
      <c r="B525" s="250"/>
      <c r="W525" s="250"/>
    </row>
    <row r="526" spans="1:23" ht="15.75" customHeight="1">
      <c r="A526" s="250"/>
      <c r="B526" s="250"/>
      <c r="W526" s="250"/>
    </row>
    <row r="527" spans="1:23" ht="15.75" customHeight="1">
      <c r="A527" s="250"/>
      <c r="B527" s="250"/>
      <c r="W527" s="250"/>
    </row>
    <row r="528" spans="1:23" ht="15.75" customHeight="1">
      <c r="A528" s="250"/>
      <c r="B528" s="250"/>
      <c r="W528" s="250"/>
    </row>
    <row r="529" spans="1:23" ht="15.75" customHeight="1">
      <c r="A529" s="250"/>
      <c r="B529" s="250"/>
      <c r="W529" s="250"/>
    </row>
    <row r="530" spans="1:23" ht="15.75" customHeight="1">
      <c r="A530" s="250"/>
      <c r="B530" s="250"/>
      <c r="W530" s="250"/>
    </row>
    <row r="531" spans="1:23" ht="15.75" customHeight="1">
      <c r="A531" s="250"/>
      <c r="B531" s="250"/>
      <c r="W531" s="250"/>
    </row>
    <row r="532" spans="1:23" ht="15.75" customHeight="1">
      <c r="A532" s="250"/>
      <c r="B532" s="250"/>
      <c r="W532" s="250"/>
    </row>
    <row r="533" spans="1:23" ht="15.75" customHeight="1">
      <c r="A533" s="250"/>
      <c r="B533" s="250"/>
      <c r="W533" s="250"/>
    </row>
    <row r="534" spans="1:23" ht="15.75" customHeight="1">
      <c r="A534" s="250"/>
      <c r="B534" s="250"/>
      <c r="W534" s="250"/>
    </row>
    <row r="535" spans="1:23" ht="15.75" customHeight="1">
      <c r="A535" s="250"/>
      <c r="B535" s="250"/>
      <c r="W535" s="250"/>
    </row>
    <row r="536" spans="1:23" ht="15.75" customHeight="1">
      <c r="A536" s="250"/>
      <c r="B536" s="250"/>
      <c r="W536" s="250"/>
    </row>
    <row r="537" spans="1:23" ht="15.75" customHeight="1">
      <c r="A537" s="250"/>
      <c r="B537" s="250"/>
      <c r="W537" s="250"/>
    </row>
    <row r="538" spans="1:23" ht="15.75" customHeight="1">
      <c r="A538" s="250"/>
      <c r="B538" s="250"/>
      <c r="W538" s="250"/>
    </row>
    <row r="539" spans="1:23" ht="15.75" customHeight="1">
      <c r="A539" s="250"/>
      <c r="B539" s="250"/>
      <c r="W539" s="250"/>
    </row>
    <row r="540" spans="1:23" ht="15.75" customHeight="1">
      <c r="A540" s="250"/>
      <c r="B540" s="250"/>
      <c r="W540" s="250"/>
    </row>
    <row r="541" spans="1:23" ht="15.75" customHeight="1">
      <c r="A541" s="250"/>
      <c r="B541" s="250"/>
      <c r="W541" s="250"/>
    </row>
    <row r="542" spans="1:23" ht="15.75" customHeight="1">
      <c r="A542" s="250"/>
      <c r="B542" s="250"/>
      <c r="W542" s="250"/>
    </row>
    <row r="543" spans="1:23" ht="15.75" customHeight="1">
      <c r="A543" s="250"/>
      <c r="B543" s="250"/>
      <c r="W543" s="250"/>
    </row>
    <row r="544" spans="1:23" ht="15.75" customHeight="1">
      <c r="A544" s="250"/>
      <c r="B544" s="250"/>
      <c r="W544" s="250"/>
    </row>
    <row r="545" spans="1:23" ht="15.75" customHeight="1">
      <c r="A545" s="250"/>
      <c r="B545" s="250"/>
      <c r="W545" s="250"/>
    </row>
    <row r="546" spans="1:23" ht="15.75" customHeight="1">
      <c r="A546" s="250"/>
      <c r="B546" s="250"/>
      <c r="W546" s="250"/>
    </row>
    <row r="547" spans="1:23" ht="15.75" customHeight="1">
      <c r="A547" s="250"/>
      <c r="B547" s="250"/>
      <c r="W547" s="250"/>
    </row>
    <row r="548" spans="1:23" ht="15.75" customHeight="1">
      <c r="A548" s="250"/>
      <c r="B548" s="250"/>
      <c r="W548" s="250"/>
    </row>
    <row r="549" spans="1:23" ht="15.75" customHeight="1">
      <c r="A549" s="250"/>
      <c r="B549" s="250"/>
      <c r="W549" s="250"/>
    </row>
    <row r="550" spans="1:23" ht="15.75" customHeight="1">
      <c r="A550" s="250"/>
      <c r="B550" s="250"/>
      <c r="W550" s="250"/>
    </row>
    <row r="551" spans="1:23" ht="15.75" customHeight="1">
      <c r="A551" s="250"/>
      <c r="B551" s="250"/>
      <c r="W551" s="250"/>
    </row>
    <row r="552" spans="1:23" ht="15.75" customHeight="1">
      <c r="A552" s="250"/>
      <c r="B552" s="250"/>
      <c r="W552" s="250"/>
    </row>
    <row r="553" spans="1:23" ht="15.75" customHeight="1">
      <c r="A553" s="250"/>
      <c r="B553" s="250"/>
      <c r="W553" s="250"/>
    </row>
    <row r="554" spans="1:23" ht="15.75" customHeight="1">
      <c r="A554" s="250"/>
      <c r="B554" s="250"/>
      <c r="W554" s="250"/>
    </row>
    <row r="555" spans="1:23" ht="15.75" customHeight="1">
      <c r="A555" s="250"/>
      <c r="B555" s="250"/>
      <c r="W555" s="250"/>
    </row>
    <row r="556" spans="1:23" ht="15.75" customHeight="1">
      <c r="A556" s="250"/>
      <c r="B556" s="250"/>
      <c r="W556" s="250"/>
    </row>
    <row r="557" spans="1:23" ht="15.75" customHeight="1">
      <c r="A557" s="250"/>
      <c r="B557" s="250"/>
      <c r="W557" s="250"/>
    </row>
    <row r="558" spans="1:23" ht="15.75" customHeight="1">
      <c r="A558" s="250"/>
      <c r="B558" s="250"/>
      <c r="W558" s="250"/>
    </row>
    <row r="559" spans="1:23" ht="15.75" customHeight="1">
      <c r="A559" s="250"/>
      <c r="B559" s="250"/>
      <c r="W559" s="250"/>
    </row>
    <row r="560" spans="1:23" ht="15.75" customHeight="1">
      <c r="A560" s="250"/>
      <c r="B560" s="250"/>
      <c r="W560" s="250"/>
    </row>
    <row r="561" spans="1:23" ht="15.75" customHeight="1">
      <c r="A561" s="250"/>
      <c r="B561" s="250"/>
      <c r="W561" s="250"/>
    </row>
    <row r="562" spans="1:23" ht="15.75" customHeight="1">
      <c r="A562" s="250"/>
      <c r="B562" s="250"/>
      <c r="W562" s="250"/>
    </row>
    <row r="563" spans="1:23" ht="15.75" customHeight="1">
      <c r="A563" s="250"/>
      <c r="B563" s="250"/>
      <c r="W563" s="250"/>
    </row>
    <row r="564" spans="1:23" ht="15.75" customHeight="1">
      <c r="A564" s="250"/>
      <c r="B564" s="250"/>
      <c r="W564" s="250"/>
    </row>
    <row r="565" spans="1:23" ht="15.75" customHeight="1">
      <c r="A565" s="250"/>
      <c r="B565" s="250"/>
      <c r="W565" s="250"/>
    </row>
    <row r="566" spans="1:23" ht="15.75" customHeight="1">
      <c r="A566" s="250"/>
      <c r="B566" s="250"/>
      <c r="W566" s="250"/>
    </row>
    <row r="567" spans="1:23" ht="15.75" customHeight="1">
      <c r="A567" s="250"/>
      <c r="B567" s="250"/>
      <c r="W567" s="250"/>
    </row>
    <row r="568" spans="1:23" ht="15.75" customHeight="1">
      <c r="A568" s="250"/>
      <c r="B568" s="250"/>
      <c r="W568" s="250"/>
    </row>
    <row r="569" spans="1:23" ht="15.75" customHeight="1">
      <c r="A569" s="250"/>
      <c r="B569" s="250"/>
      <c r="W569" s="250"/>
    </row>
    <row r="570" spans="1:23" ht="15.75" customHeight="1">
      <c r="A570" s="250"/>
      <c r="B570" s="250"/>
      <c r="W570" s="250"/>
    </row>
    <row r="571" spans="1:23" ht="15.75" customHeight="1">
      <c r="A571" s="250"/>
      <c r="B571" s="250"/>
      <c r="W571" s="250"/>
    </row>
    <row r="572" spans="1:23" ht="15.75" customHeight="1">
      <c r="A572" s="250"/>
      <c r="B572" s="250"/>
      <c r="W572" s="250"/>
    </row>
    <row r="573" spans="1:23" ht="15.75" customHeight="1">
      <c r="A573" s="250"/>
      <c r="B573" s="250"/>
      <c r="W573" s="250"/>
    </row>
    <row r="574" spans="1:23" ht="15.75" customHeight="1">
      <c r="A574" s="250"/>
      <c r="B574" s="250"/>
      <c r="W574" s="250"/>
    </row>
    <row r="575" spans="1:23" ht="15.75" customHeight="1">
      <c r="A575" s="250"/>
      <c r="B575" s="250"/>
      <c r="W575" s="250"/>
    </row>
    <row r="576" spans="1:23" ht="15.75" customHeight="1">
      <c r="A576" s="250"/>
      <c r="B576" s="250"/>
      <c r="W576" s="250"/>
    </row>
    <row r="577" spans="1:23" ht="15.75" customHeight="1">
      <c r="A577" s="250"/>
      <c r="B577" s="250"/>
      <c r="W577" s="250"/>
    </row>
    <row r="578" spans="1:23" ht="15.75" customHeight="1">
      <c r="A578" s="250"/>
      <c r="B578" s="250"/>
      <c r="W578" s="250"/>
    </row>
    <row r="579" spans="1:23" ht="15.75" customHeight="1">
      <c r="A579" s="250"/>
      <c r="B579" s="250"/>
      <c r="W579" s="250"/>
    </row>
    <row r="580" spans="1:23" ht="15.75" customHeight="1">
      <c r="A580" s="250"/>
      <c r="B580" s="250"/>
      <c r="W580" s="250"/>
    </row>
    <row r="581" spans="1:23" ht="15.75" customHeight="1">
      <c r="A581" s="250"/>
      <c r="B581" s="250"/>
      <c r="W581" s="250"/>
    </row>
    <row r="582" spans="1:23" ht="15.75" customHeight="1">
      <c r="A582" s="250"/>
      <c r="B582" s="250"/>
      <c r="W582" s="250"/>
    </row>
    <row r="583" spans="1:23" ht="15.75" customHeight="1">
      <c r="A583" s="250"/>
      <c r="B583" s="250"/>
      <c r="W583" s="250"/>
    </row>
    <row r="584" spans="1:23" ht="15.75" customHeight="1">
      <c r="A584" s="250"/>
      <c r="B584" s="250"/>
      <c r="W584" s="250"/>
    </row>
    <row r="585" spans="1:23" ht="15.75" customHeight="1">
      <c r="A585" s="250"/>
      <c r="B585" s="250"/>
      <c r="W585" s="250"/>
    </row>
    <row r="586" spans="1:23" ht="15.75" customHeight="1">
      <c r="A586" s="250"/>
      <c r="B586" s="250"/>
      <c r="W586" s="250"/>
    </row>
    <row r="587" spans="1:23" ht="15.75" customHeight="1">
      <c r="A587" s="250"/>
      <c r="B587" s="250"/>
      <c r="W587" s="250"/>
    </row>
    <row r="588" spans="1:23" ht="15.75" customHeight="1">
      <c r="A588" s="250"/>
      <c r="B588" s="250"/>
      <c r="W588" s="250"/>
    </row>
    <row r="589" spans="1:23" ht="15.75" customHeight="1">
      <c r="A589" s="250"/>
      <c r="B589" s="250"/>
      <c r="W589" s="250"/>
    </row>
    <row r="590" spans="1:23" ht="15.75" customHeight="1">
      <c r="A590" s="250"/>
      <c r="B590" s="250"/>
      <c r="W590" s="250"/>
    </row>
    <row r="591" spans="1:23" ht="15.75" customHeight="1">
      <c r="A591" s="250"/>
      <c r="B591" s="250"/>
      <c r="W591" s="250"/>
    </row>
    <row r="592" spans="1:23" ht="15.75" customHeight="1">
      <c r="A592" s="250"/>
      <c r="B592" s="250"/>
      <c r="W592" s="250"/>
    </row>
    <row r="593" spans="1:23" ht="15.75" customHeight="1">
      <c r="A593" s="250"/>
      <c r="B593" s="250"/>
      <c r="W593" s="250"/>
    </row>
    <row r="594" spans="1:23" ht="15.75" customHeight="1">
      <c r="A594" s="250"/>
      <c r="B594" s="250"/>
      <c r="W594" s="250"/>
    </row>
    <row r="595" spans="1:23" ht="15.75" customHeight="1">
      <c r="A595" s="250"/>
      <c r="B595" s="250"/>
      <c r="W595" s="250"/>
    </row>
    <row r="596" spans="1:23" ht="15.75" customHeight="1">
      <c r="A596" s="250"/>
      <c r="B596" s="250"/>
      <c r="W596" s="250"/>
    </row>
    <row r="597" spans="1:23" ht="15.75" customHeight="1">
      <c r="A597" s="250"/>
      <c r="B597" s="250"/>
      <c r="W597" s="250"/>
    </row>
    <row r="598" spans="1:23" ht="15.75" customHeight="1">
      <c r="A598" s="250"/>
      <c r="B598" s="250"/>
      <c r="W598" s="250"/>
    </row>
    <row r="599" spans="1:23" ht="15.75" customHeight="1">
      <c r="A599" s="250"/>
      <c r="B599" s="250"/>
      <c r="W599" s="250"/>
    </row>
    <row r="600" spans="1:23" ht="15.75" customHeight="1">
      <c r="A600" s="250"/>
      <c r="B600" s="250"/>
      <c r="W600" s="250"/>
    </row>
    <row r="601" spans="1:23" ht="15.75" customHeight="1">
      <c r="A601" s="250"/>
      <c r="B601" s="250"/>
      <c r="W601" s="250"/>
    </row>
    <row r="602" spans="1:23" ht="15.75" customHeight="1">
      <c r="A602" s="250"/>
      <c r="B602" s="250"/>
      <c r="W602" s="250"/>
    </row>
    <row r="603" spans="1:23" ht="15.75" customHeight="1">
      <c r="A603" s="250"/>
      <c r="B603" s="250"/>
      <c r="W603" s="250"/>
    </row>
    <row r="604" spans="1:23" ht="15.75" customHeight="1">
      <c r="A604" s="250"/>
      <c r="B604" s="250"/>
      <c r="W604" s="250"/>
    </row>
    <row r="605" spans="1:23" ht="15.75" customHeight="1">
      <c r="A605" s="250"/>
      <c r="B605" s="250"/>
      <c r="W605" s="250"/>
    </row>
    <row r="606" spans="1:23" ht="15.75" customHeight="1">
      <c r="A606" s="250"/>
      <c r="B606" s="250"/>
      <c r="W606" s="250"/>
    </row>
    <row r="607" spans="1:23" ht="15.75" customHeight="1">
      <c r="A607" s="250"/>
      <c r="B607" s="250"/>
      <c r="W607" s="250"/>
    </row>
    <row r="608" spans="1:23" ht="15.75" customHeight="1">
      <c r="A608" s="250"/>
      <c r="B608" s="250"/>
      <c r="W608" s="250"/>
    </row>
    <row r="609" spans="1:23" ht="15.75" customHeight="1">
      <c r="A609" s="250"/>
      <c r="B609" s="250"/>
      <c r="W609" s="250"/>
    </row>
    <row r="610" spans="1:23" ht="15.75" customHeight="1">
      <c r="A610" s="250"/>
      <c r="B610" s="250"/>
      <c r="W610" s="250"/>
    </row>
    <row r="611" spans="1:23" ht="15.75" customHeight="1">
      <c r="A611" s="250"/>
      <c r="B611" s="250"/>
      <c r="W611" s="250"/>
    </row>
    <row r="612" spans="1:23" ht="15.75" customHeight="1">
      <c r="A612" s="250"/>
      <c r="B612" s="250"/>
      <c r="W612" s="250"/>
    </row>
    <row r="613" spans="1:23" ht="15.75" customHeight="1">
      <c r="A613" s="250"/>
      <c r="B613" s="250"/>
      <c r="W613" s="250"/>
    </row>
    <row r="614" spans="1:23" ht="15.75" customHeight="1">
      <c r="A614" s="250"/>
      <c r="B614" s="250"/>
      <c r="W614" s="250"/>
    </row>
    <row r="615" spans="1:23" ht="15.75" customHeight="1">
      <c r="A615" s="250"/>
      <c r="B615" s="250"/>
      <c r="W615" s="250"/>
    </row>
    <row r="616" spans="1:23" ht="15.75" customHeight="1">
      <c r="A616" s="250"/>
      <c r="B616" s="250"/>
      <c r="W616" s="250"/>
    </row>
    <row r="617" spans="1:23" ht="15.75" customHeight="1">
      <c r="A617" s="250"/>
      <c r="B617" s="250"/>
      <c r="W617" s="250"/>
    </row>
    <row r="618" spans="1:23" ht="15.75" customHeight="1">
      <c r="A618" s="250"/>
      <c r="B618" s="250"/>
      <c r="W618" s="250"/>
    </row>
    <row r="619" spans="1:23" ht="15.75" customHeight="1">
      <c r="A619" s="250"/>
      <c r="B619" s="250"/>
      <c r="W619" s="250"/>
    </row>
    <row r="620" spans="1:23" ht="15.75" customHeight="1">
      <c r="A620" s="250"/>
      <c r="B620" s="250"/>
      <c r="W620" s="250"/>
    </row>
    <row r="621" spans="1:23" ht="15.75" customHeight="1">
      <c r="A621" s="250"/>
      <c r="B621" s="250"/>
      <c r="W621" s="250"/>
    </row>
    <row r="622" spans="1:23" ht="15.75" customHeight="1">
      <c r="A622" s="250"/>
      <c r="B622" s="250"/>
      <c r="W622" s="250"/>
    </row>
    <row r="623" spans="1:23" ht="15.75" customHeight="1">
      <c r="A623" s="250"/>
      <c r="B623" s="250"/>
      <c r="W623" s="250"/>
    </row>
    <row r="624" spans="1:23" ht="15.75" customHeight="1">
      <c r="A624" s="250"/>
      <c r="B624" s="250"/>
      <c r="W624" s="250"/>
    </row>
    <row r="625" spans="1:23" ht="15.75" customHeight="1">
      <c r="A625" s="250"/>
      <c r="B625" s="250"/>
      <c r="W625" s="250"/>
    </row>
    <row r="626" spans="1:23" ht="15.75" customHeight="1">
      <c r="A626" s="250"/>
      <c r="B626" s="250"/>
      <c r="W626" s="250"/>
    </row>
    <row r="627" spans="1:23" ht="15.75" customHeight="1">
      <c r="A627" s="250"/>
      <c r="B627" s="250"/>
      <c r="W627" s="250"/>
    </row>
    <row r="628" spans="1:23" ht="15.75" customHeight="1">
      <c r="A628" s="250"/>
      <c r="B628" s="250"/>
      <c r="W628" s="250"/>
    </row>
    <row r="629" spans="1:23" ht="15.75" customHeight="1">
      <c r="A629" s="250"/>
      <c r="B629" s="250"/>
      <c r="W629" s="250"/>
    </row>
    <row r="630" spans="1:23" ht="15.75" customHeight="1">
      <c r="A630" s="250"/>
      <c r="B630" s="250"/>
      <c r="W630" s="250"/>
    </row>
    <row r="631" spans="1:23" ht="15.75" customHeight="1">
      <c r="A631" s="250"/>
      <c r="B631" s="250"/>
      <c r="W631" s="250"/>
    </row>
    <row r="632" spans="1:23" ht="15.75" customHeight="1">
      <c r="A632" s="250"/>
      <c r="B632" s="250"/>
      <c r="W632" s="250"/>
    </row>
    <row r="633" spans="1:23" ht="15.75" customHeight="1">
      <c r="A633" s="250"/>
      <c r="B633" s="250"/>
      <c r="W633" s="250"/>
    </row>
    <row r="634" spans="1:23" ht="15.75" customHeight="1">
      <c r="A634" s="250"/>
      <c r="B634" s="250"/>
      <c r="W634" s="250"/>
    </row>
    <row r="635" spans="1:23" ht="15.75" customHeight="1">
      <c r="A635" s="250"/>
      <c r="B635" s="250"/>
      <c r="W635" s="250"/>
    </row>
    <row r="636" spans="1:23" ht="15.75" customHeight="1">
      <c r="A636" s="250"/>
      <c r="B636" s="250"/>
      <c r="W636" s="250"/>
    </row>
    <row r="637" spans="1:23" ht="15.75" customHeight="1">
      <c r="A637" s="250"/>
      <c r="B637" s="250"/>
      <c r="W637" s="250"/>
    </row>
    <row r="638" spans="1:23" ht="15.75" customHeight="1">
      <c r="A638" s="250"/>
      <c r="B638" s="250"/>
      <c r="W638" s="250"/>
    </row>
    <row r="639" spans="1:23" ht="15.75" customHeight="1">
      <c r="A639" s="250"/>
      <c r="B639" s="250"/>
      <c r="W639" s="250"/>
    </row>
    <row r="640" spans="1:23" ht="15.75" customHeight="1">
      <c r="A640" s="250"/>
      <c r="B640" s="250"/>
      <c r="W640" s="250"/>
    </row>
    <row r="641" spans="1:23" ht="15.75" customHeight="1">
      <c r="A641" s="250"/>
      <c r="B641" s="250"/>
      <c r="W641" s="250"/>
    </row>
    <row r="642" spans="1:23" ht="15.75" customHeight="1">
      <c r="A642" s="250"/>
      <c r="B642" s="250"/>
      <c r="W642" s="250"/>
    </row>
    <row r="643" spans="1:23" ht="15.75" customHeight="1">
      <c r="A643" s="250"/>
      <c r="B643" s="250"/>
      <c r="W643" s="250"/>
    </row>
    <row r="644" spans="1:23" ht="15.75" customHeight="1">
      <c r="A644" s="250"/>
      <c r="B644" s="250"/>
      <c r="W644" s="250"/>
    </row>
    <row r="645" spans="1:23" ht="15.75" customHeight="1">
      <c r="A645" s="250"/>
      <c r="B645" s="250"/>
      <c r="W645" s="250"/>
    </row>
    <row r="646" spans="1:23" ht="15.75" customHeight="1">
      <c r="A646" s="250"/>
      <c r="B646" s="250"/>
      <c r="W646" s="250"/>
    </row>
    <row r="647" spans="1:23" ht="15.75" customHeight="1">
      <c r="A647" s="250"/>
      <c r="B647" s="250"/>
      <c r="W647" s="250"/>
    </row>
    <row r="648" spans="1:23" ht="15.75" customHeight="1">
      <c r="A648" s="250"/>
      <c r="B648" s="250"/>
      <c r="W648" s="250"/>
    </row>
    <row r="649" spans="1:23" ht="15.75" customHeight="1">
      <c r="A649" s="250"/>
      <c r="B649" s="250"/>
      <c r="W649" s="250"/>
    </row>
    <row r="650" spans="1:23" ht="15.75" customHeight="1">
      <c r="A650" s="250"/>
      <c r="B650" s="250"/>
      <c r="W650" s="250"/>
    </row>
    <row r="651" spans="1:23" ht="15.75" customHeight="1">
      <c r="A651" s="250"/>
      <c r="B651" s="250"/>
      <c r="W651" s="250"/>
    </row>
    <row r="652" spans="1:23" ht="15.75" customHeight="1">
      <c r="A652" s="250"/>
      <c r="B652" s="250"/>
      <c r="W652" s="250"/>
    </row>
    <row r="653" spans="1:23" ht="15.75" customHeight="1">
      <c r="A653" s="250"/>
      <c r="B653" s="250"/>
      <c r="W653" s="250"/>
    </row>
    <row r="654" spans="1:23" ht="15.75" customHeight="1">
      <c r="A654" s="250"/>
      <c r="B654" s="250"/>
      <c r="W654" s="250"/>
    </row>
    <row r="655" spans="1:23" ht="15.75" customHeight="1">
      <c r="A655" s="250"/>
      <c r="B655" s="250"/>
      <c r="W655" s="250"/>
    </row>
    <row r="656" spans="1:23" ht="15.75" customHeight="1">
      <c r="A656" s="250"/>
      <c r="B656" s="250"/>
      <c r="W656" s="250"/>
    </row>
    <row r="657" spans="1:23" ht="15.75" customHeight="1">
      <c r="A657" s="250"/>
      <c r="B657" s="250"/>
      <c r="W657" s="250"/>
    </row>
    <row r="658" spans="1:23" ht="15.75" customHeight="1">
      <c r="A658" s="250"/>
      <c r="B658" s="250"/>
      <c r="W658" s="250"/>
    </row>
    <row r="659" spans="1:23" ht="15.75" customHeight="1">
      <c r="A659" s="250"/>
      <c r="B659" s="250"/>
      <c r="W659" s="250"/>
    </row>
    <row r="660" spans="1:23" ht="15.75" customHeight="1">
      <c r="A660" s="250"/>
      <c r="B660" s="250"/>
      <c r="W660" s="250"/>
    </row>
    <row r="661" spans="1:23" ht="15.75" customHeight="1">
      <c r="A661" s="250"/>
      <c r="B661" s="250"/>
      <c r="W661" s="250"/>
    </row>
    <row r="662" spans="1:23" ht="15.75" customHeight="1">
      <c r="A662" s="250"/>
      <c r="B662" s="250"/>
      <c r="W662" s="250"/>
    </row>
    <row r="663" spans="1:23" ht="15.75" customHeight="1">
      <c r="A663" s="250"/>
      <c r="B663" s="250"/>
      <c r="W663" s="250"/>
    </row>
    <row r="664" spans="1:23" ht="15.75" customHeight="1">
      <c r="A664" s="250"/>
      <c r="B664" s="250"/>
      <c r="W664" s="250"/>
    </row>
    <row r="665" spans="1:23" ht="15.75" customHeight="1">
      <c r="A665" s="250"/>
      <c r="B665" s="250"/>
      <c r="W665" s="250"/>
    </row>
    <row r="666" spans="1:23" ht="15.75" customHeight="1">
      <c r="A666" s="250"/>
      <c r="B666" s="250"/>
      <c r="W666" s="250"/>
    </row>
    <row r="667" spans="1:23" ht="15.75" customHeight="1">
      <c r="A667" s="250"/>
      <c r="B667" s="250"/>
      <c r="W667" s="250"/>
    </row>
    <row r="668" spans="1:23" ht="15.75" customHeight="1">
      <c r="A668" s="250"/>
      <c r="B668" s="250"/>
      <c r="W668" s="250"/>
    </row>
    <row r="669" spans="1:23" ht="15.75" customHeight="1">
      <c r="A669" s="250"/>
      <c r="B669" s="250"/>
      <c r="W669" s="250"/>
    </row>
    <row r="670" spans="1:23" ht="15.75" customHeight="1">
      <c r="A670" s="250"/>
      <c r="B670" s="250"/>
      <c r="W670" s="250"/>
    </row>
    <row r="671" spans="1:23" ht="15.75" customHeight="1">
      <c r="A671" s="250"/>
      <c r="B671" s="250"/>
      <c r="W671" s="250"/>
    </row>
    <row r="672" spans="1:23" ht="15.75" customHeight="1">
      <c r="A672" s="250"/>
      <c r="B672" s="250"/>
      <c r="W672" s="250"/>
    </row>
    <row r="673" spans="1:23" ht="15.75" customHeight="1">
      <c r="A673" s="250"/>
      <c r="B673" s="250"/>
      <c r="W673" s="250"/>
    </row>
    <row r="674" spans="1:23" ht="15.75" customHeight="1">
      <c r="A674" s="250"/>
      <c r="B674" s="250"/>
      <c r="W674" s="250"/>
    </row>
    <row r="675" spans="1:23" ht="15.75" customHeight="1">
      <c r="A675" s="250"/>
      <c r="B675" s="250"/>
      <c r="W675" s="250"/>
    </row>
    <row r="676" spans="1:23" ht="15.75" customHeight="1">
      <c r="A676" s="250"/>
      <c r="B676" s="250"/>
      <c r="W676" s="250"/>
    </row>
    <row r="677" spans="1:23" ht="15.75" customHeight="1">
      <c r="A677" s="250"/>
      <c r="B677" s="250"/>
      <c r="W677" s="250"/>
    </row>
    <row r="678" spans="1:23" ht="15.75" customHeight="1">
      <c r="A678" s="250"/>
      <c r="B678" s="250"/>
      <c r="W678" s="250"/>
    </row>
    <row r="679" spans="1:23" ht="15.75" customHeight="1">
      <c r="A679" s="250"/>
      <c r="B679" s="250"/>
      <c r="W679" s="250"/>
    </row>
    <row r="680" spans="1:23" ht="15.75" customHeight="1">
      <c r="A680" s="250"/>
      <c r="B680" s="250"/>
      <c r="W680" s="250"/>
    </row>
    <row r="681" spans="1:23" ht="15.75" customHeight="1">
      <c r="A681" s="250"/>
      <c r="B681" s="250"/>
      <c r="W681" s="250"/>
    </row>
    <row r="682" spans="1:23" ht="15.75" customHeight="1">
      <c r="A682" s="250"/>
      <c r="B682" s="250"/>
      <c r="W682" s="250"/>
    </row>
    <row r="683" spans="1:23" ht="15.75" customHeight="1">
      <c r="A683" s="250"/>
      <c r="B683" s="250"/>
      <c r="W683" s="250"/>
    </row>
    <row r="684" spans="1:23" ht="15.75" customHeight="1">
      <c r="A684" s="250"/>
      <c r="B684" s="250"/>
      <c r="W684" s="250"/>
    </row>
    <row r="685" spans="1:23" ht="15.75" customHeight="1">
      <c r="A685" s="250"/>
      <c r="B685" s="250"/>
      <c r="W685" s="250"/>
    </row>
    <row r="686" spans="1:23" ht="15.75" customHeight="1">
      <c r="A686" s="250"/>
      <c r="B686" s="250"/>
      <c r="W686" s="250"/>
    </row>
    <row r="687" spans="1:23" ht="15.75" customHeight="1">
      <c r="A687" s="250"/>
      <c r="B687" s="250"/>
      <c r="W687" s="250"/>
    </row>
    <row r="688" spans="1:23" ht="15.75" customHeight="1">
      <c r="A688" s="250"/>
      <c r="B688" s="250"/>
      <c r="W688" s="250"/>
    </row>
    <row r="689" spans="1:23" ht="15.75" customHeight="1">
      <c r="A689" s="250"/>
      <c r="B689" s="250"/>
      <c r="W689" s="250"/>
    </row>
    <row r="690" spans="1:23" ht="15.75" customHeight="1">
      <c r="A690" s="250"/>
      <c r="B690" s="250"/>
      <c r="W690" s="250"/>
    </row>
    <row r="691" spans="1:23" ht="15.75" customHeight="1">
      <c r="A691" s="250"/>
      <c r="B691" s="250"/>
      <c r="W691" s="250"/>
    </row>
    <row r="692" spans="1:23" ht="15.75" customHeight="1">
      <c r="A692" s="250"/>
      <c r="B692" s="250"/>
      <c r="W692" s="250"/>
    </row>
    <row r="693" spans="1:23" ht="15.75" customHeight="1">
      <c r="A693" s="250"/>
      <c r="B693" s="250"/>
      <c r="W693" s="250"/>
    </row>
    <row r="694" spans="1:23" ht="15.75" customHeight="1">
      <c r="A694" s="250"/>
      <c r="B694" s="250"/>
      <c r="W694" s="250"/>
    </row>
    <row r="695" spans="1:23" ht="15.75" customHeight="1">
      <c r="A695" s="250"/>
      <c r="B695" s="250"/>
      <c r="W695" s="250"/>
    </row>
    <row r="696" spans="1:23" ht="15.75" customHeight="1">
      <c r="A696" s="250"/>
      <c r="B696" s="250"/>
      <c r="W696" s="250"/>
    </row>
    <row r="697" spans="1:23" ht="15.75" customHeight="1">
      <c r="A697" s="250"/>
      <c r="B697" s="250"/>
      <c r="W697" s="250"/>
    </row>
    <row r="698" spans="1:23" ht="15.75" customHeight="1">
      <c r="A698" s="250"/>
      <c r="B698" s="250"/>
      <c r="W698" s="250"/>
    </row>
    <row r="699" spans="1:23" ht="15.75" customHeight="1">
      <c r="A699" s="250"/>
      <c r="B699" s="250"/>
      <c r="W699" s="250"/>
    </row>
    <row r="700" spans="1:23" ht="15.75" customHeight="1">
      <c r="A700" s="250"/>
      <c r="B700" s="250"/>
      <c r="W700" s="250"/>
    </row>
    <row r="701" spans="1:23" ht="15.75" customHeight="1">
      <c r="A701" s="250"/>
      <c r="B701" s="250"/>
      <c r="W701" s="250"/>
    </row>
    <row r="702" spans="1:23" ht="15.75" customHeight="1">
      <c r="A702" s="250"/>
      <c r="B702" s="250"/>
      <c r="W702" s="250"/>
    </row>
    <row r="703" spans="1:23" ht="15.75" customHeight="1">
      <c r="A703" s="250"/>
      <c r="B703" s="250"/>
      <c r="W703" s="250"/>
    </row>
    <row r="704" spans="1:23" ht="15.75" customHeight="1">
      <c r="A704" s="250"/>
      <c r="B704" s="250"/>
      <c r="W704" s="250"/>
    </row>
    <row r="705" spans="1:23" ht="15.75" customHeight="1">
      <c r="A705" s="250"/>
      <c r="B705" s="250"/>
      <c r="W705" s="250"/>
    </row>
    <row r="706" spans="1:23" ht="15.75" customHeight="1">
      <c r="A706" s="250"/>
      <c r="B706" s="250"/>
      <c r="W706" s="250"/>
    </row>
    <row r="707" spans="1:23" ht="15.75" customHeight="1">
      <c r="A707" s="250"/>
      <c r="B707" s="250"/>
      <c r="W707" s="250"/>
    </row>
    <row r="708" spans="1:23" ht="15.75" customHeight="1">
      <c r="A708" s="250"/>
      <c r="B708" s="250"/>
      <c r="W708" s="250"/>
    </row>
    <row r="709" spans="1:23" ht="15.75" customHeight="1">
      <c r="A709" s="250"/>
      <c r="B709" s="250"/>
      <c r="W709" s="250"/>
    </row>
    <row r="710" spans="1:23" ht="15.75" customHeight="1">
      <c r="A710" s="250"/>
      <c r="B710" s="250"/>
      <c r="W710" s="250"/>
    </row>
    <row r="711" spans="1:23" ht="15.75" customHeight="1">
      <c r="A711" s="250"/>
      <c r="B711" s="250"/>
      <c r="W711" s="250"/>
    </row>
    <row r="712" spans="1:23" ht="15.75" customHeight="1">
      <c r="A712" s="250"/>
      <c r="B712" s="250"/>
      <c r="W712" s="250"/>
    </row>
    <row r="713" spans="1:23" ht="15.75" customHeight="1">
      <c r="A713" s="250"/>
      <c r="B713" s="250"/>
      <c r="W713" s="250"/>
    </row>
    <row r="714" spans="1:23" ht="15.75" customHeight="1">
      <c r="A714" s="250"/>
      <c r="B714" s="250"/>
      <c r="W714" s="250"/>
    </row>
    <row r="715" spans="1:23" ht="15.75" customHeight="1">
      <c r="A715" s="250"/>
      <c r="B715" s="250"/>
      <c r="W715" s="250"/>
    </row>
    <row r="716" spans="1:23" ht="15.75" customHeight="1">
      <c r="A716" s="250"/>
      <c r="B716" s="250"/>
      <c r="W716" s="250"/>
    </row>
    <row r="717" spans="1:23" ht="15.75" customHeight="1">
      <c r="A717" s="250"/>
      <c r="B717" s="250"/>
      <c r="W717" s="250"/>
    </row>
    <row r="718" spans="1:23" ht="15.75" customHeight="1">
      <c r="A718" s="250"/>
      <c r="B718" s="250"/>
      <c r="W718" s="250"/>
    </row>
    <row r="719" spans="1:23" ht="15.75" customHeight="1">
      <c r="A719" s="250"/>
      <c r="B719" s="250"/>
      <c r="W719" s="250"/>
    </row>
    <row r="720" spans="1:23" ht="15.75" customHeight="1">
      <c r="A720" s="250"/>
      <c r="B720" s="250"/>
      <c r="W720" s="250"/>
    </row>
    <row r="721" spans="1:23" ht="15.75" customHeight="1">
      <c r="A721" s="250"/>
      <c r="B721" s="250"/>
      <c r="W721" s="250"/>
    </row>
    <row r="722" spans="1:23" ht="15.75" customHeight="1">
      <c r="A722" s="250"/>
      <c r="B722" s="250"/>
      <c r="W722" s="250"/>
    </row>
    <row r="723" spans="1:23" ht="15.75" customHeight="1">
      <c r="A723" s="250"/>
      <c r="B723" s="250"/>
      <c r="W723" s="250"/>
    </row>
    <row r="724" spans="1:23" ht="15.75" customHeight="1">
      <c r="A724" s="250"/>
      <c r="B724" s="250"/>
      <c r="W724" s="250"/>
    </row>
    <row r="725" spans="1:23" ht="15.75" customHeight="1">
      <c r="A725" s="250"/>
      <c r="B725" s="250"/>
      <c r="W725" s="250"/>
    </row>
    <row r="726" spans="1:23" ht="15.75" customHeight="1">
      <c r="A726" s="250"/>
      <c r="B726" s="250"/>
      <c r="W726" s="250"/>
    </row>
    <row r="727" spans="1:23" ht="15.75" customHeight="1">
      <c r="A727" s="250"/>
      <c r="B727" s="250"/>
      <c r="W727" s="250"/>
    </row>
    <row r="728" spans="1:23" ht="15.75" customHeight="1">
      <c r="A728" s="250"/>
      <c r="B728" s="250"/>
      <c r="W728" s="250"/>
    </row>
    <row r="729" spans="1:23" ht="15.75" customHeight="1">
      <c r="A729" s="250"/>
      <c r="B729" s="250"/>
      <c r="W729" s="250"/>
    </row>
    <row r="730" spans="1:23" ht="15.75" customHeight="1">
      <c r="A730" s="250"/>
      <c r="B730" s="250"/>
      <c r="W730" s="250"/>
    </row>
    <row r="731" spans="1:23" ht="15.75" customHeight="1">
      <c r="A731" s="250"/>
      <c r="B731" s="250"/>
      <c r="W731" s="250"/>
    </row>
    <row r="732" spans="1:23" ht="15.75" customHeight="1">
      <c r="A732" s="250"/>
      <c r="B732" s="250"/>
      <c r="W732" s="250"/>
    </row>
    <row r="733" spans="1:23" ht="15.75" customHeight="1">
      <c r="A733" s="250"/>
      <c r="B733" s="250"/>
      <c r="W733" s="250"/>
    </row>
    <row r="734" spans="1:23" ht="15.75" customHeight="1">
      <c r="A734" s="250"/>
      <c r="B734" s="250"/>
      <c r="W734" s="250"/>
    </row>
    <row r="735" spans="1:23" ht="15.75" customHeight="1">
      <c r="A735" s="250"/>
      <c r="B735" s="250"/>
      <c r="W735" s="250"/>
    </row>
    <row r="736" spans="1:23" ht="15.75" customHeight="1">
      <c r="A736" s="250"/>
      <c r="B736" s="250"/>
      <c r="W736" s="250"/>
    </row>
    <row r="737" spans="1:23" ht="15.75" customHeight="1">
      <c r="A737" s="250"/>
      <c r="B737" s="250"/>
      <c r="W737" s="250"/>
    </row>
    <row r="738" spans="1:23" ht="15.75" customHeight="1">
      <c r="A738" s="250"/>
      <c r="B738" s="250"/>
      <c r="W738" s="250"/>
    </row>
    <row r="739" spans="1:23" ht="15.75" customHeight="1">
      <c r="A739" s="250"/>
      <c r="B739" s="250"/>
      <c r="W739" s="250"/>
    </row>
    <row r="740" spans="1:23" ht="15.75" customHeight="1">
      <c r="A740" s="250"/>
      <c r="B740" s="250"/>
      <c r="W740" s="250"/>
    </row>
    <row r="741" spans="1:23" ht="15.75" customHeight="1">
      <c r="A741" s="250"/>
      <c r="B741" s="250"/>
      <c r="W741" s="250"/>
    </row>
    <row r="742" spans="1:23" ht="15.75" customHeight="1">
      <c r="A742" s="250"/>
      <c r="B742" s="250"/>
      <c r="W742" s="250"/>
    </row>
    <row r="743" spans="1:23" ht="15.75" customHeight="1">
      <c r="A743" s="250"/>
      <c r="B743" s="250"/>
      <c r="W743" s="250"/>
    </row>
    <row r="744" spans="1:23" ht="15.75" customHeight="1">
      <c r="A744" s="250"/>
      <c r="B744" s="250"/>
      <c r="W744" s="250"/>
    </row>
    <row r="745" spans="1:23" ht="15.75" customHeight="1">
      <c r="A745" s="250"/>
      <c r="B745" s="250"/>
      <c r="W745" s="250"/>
    </row>
    <row r="746" spans="1:23" ht="15.75" customHeight="1">
      <c r="A746" s="250"/>
      <c r="B746" s="250"/>
      <c r="W746" s="250"/>
    </row>
    <row r="747" spans="1:23" ht="15.75" customHeight="1">
      <c r="A747" s="250"/>
      <c r="B747" s="250"/>
      <c r="W747" s="250"/>
    </row>
    <row r="748" spans="1:23" ht="15.75" customHeight="1">
      <c r="A748" s="250"/>
      <c r="B748" s="250"/>
      <c r="W748" s="250"/>
    </row>
    <row r="749" spans="1:23" ht="15.75" customHeight="1">
      <c r="A749" s="250"/>
      <c r="B749" s="250"/>
      <c r="W749" s="250"/>
    </row>
    <row r="750" spans="1:23" ht="15.75" customHeight="1">
      <c r="A750" s="250"/>
      <c r="B750" s="250"/>
      <c r="W750" s="250"/>
    </row>
    <row r="751" spans="1:23" ht="15.75" customHeight="1">
      <c r="A751" s="250"/>
      <c r="B751" s="250"/>
      <c r="W751" s="250"/>
    </row>
    <row r="752" spans="1:23" ht="15.75" customHeight="1">
      <c r="A752" s="250"/>
      <c r="B752" s="250"/>
      <c r="W752" s="250"/>
    </row>
    <row r="753" spans="1:23" ht="15.75" customHeight="1">
      <c r="A753" s="250"/>
      <c r="B753" s="250"/>
      <c r="W753" s="250"/>
    </row>
    <row r="754" spans="1:23" ht="15.75" customHeight="1">
      <c r="A754" s="250"/>
      <c r="B754" s="250"/>
      <c r="W754" s="250"/>
    </row>
    <row r="755" spans="1:23" ht="15.75" customHeight="1">
      <c r="A755" s="250"/>
      <c r="B755" s="250"/>
      <c r="W755" s="250"/>
    </row>
    <row r="756" spans="1:23" ht="15.75" customHeight="1">
      <c r="A756" s="250"/>
      <c r="B756" s="250"/>
      <c r="W756" s="250"/>
    </row>
    <row r="757" spans="1:23" ht="15.75" customHeight="1">
      <c r="A757" s="250"/>
      <c r="B757" s="250"/>
      <c r="W757" s="250"/>
    </row>
    <row r="758" spans="1:23" ht="15.75" customHeight="1">
      <c r="A758" s="250"/>
      <c r="B758" s="250"/>
      <c r="W758" s="250"/>
    </row>
    <row r="759" spans="1:23" ht="15.75" customHeight="1">
      <c r="A759" s="250"/>
      <c r="B759" s="250"/>
      <c r="W759" s="250"/>
    </row>
    <row r="760" spans="1:23" ht="15.75" customHeight="1">
      <c r="A760" s="250"/>
      <c r="B760" s="250"/>
      <c r="W760" s="250"/>
    </row>
    <row r="761" spans="1:23" ht="15.75" customHeight="1">
      <c r="A761" s="250"/>
      <c r="B761" s="250"/>
      <c r="W761" s="250"/>
    </row>
    <row r="762" spans="1:23" ht="15.75" customHeight="1">
      <c r="A762" s="250"/>
      <c r="B762" s="250"/>
      <c r="W762" s="250"/>
    </row>
    <row r="763" spans="1:23" ht="15.75" customHeight="1">
      <c r="A763" s="250"/>
      <c r="B763" s="250"/>
      <c r="W763" s="250"/>
    </row>
    <row r="764" spans="1:23" ht="15.75" customHeight="1">
      <c r="A764" s="250"/>
      <c r="B764" s="250"/>
      <c r="W764" s="250"/>
    </row>
    <row r="765" spans="1:23" ht="15.75" customHeight="1">
      <c r="A765" s="250"/>
      <c r="B765" s="250"/>
      <c r="W765" s="250"/>
    </row>
    <row r="766" spans="1:23" ht="15.75" customHeight="1">
      <c r="A766" s="250"/>
      <c r="B766" s="250"/>
      <c r="W766" s="250"/>
    </row>
    <row r="767" spans="1:23" ht="15.75" customHeight="1">
      <c r="A767" s="250"/>
      <c r="B767" s="250"/>
      <c r="W767" s="250"/>
    </row>
    <row r="768" spans="1:23" ht="15.75" customHeight="1">
      <c r="A768" s="250"/>
      <c r="B768" s="250"/>
      <c r="W768" s="250"/>
    </row>
    <row r="769" spans="1:23" ht="15.75" customHeight="1">
      <c r="A769" s="250"/>
      <c r="B769" s="250"/>
      <c r="W769" s="250"/>
    </row>
    <row r="770" spans="1:23" ht="15.75" customHeight="1">
      <c r="A770" s="250"/>
      <c r="B770" s="250"/>
      <c r="W770" s="250"/>
    </row>
    <row r="771" spans="1:23" ht="15.75" customHeight="1">
      <c r="A771" s="250"/>
      <c r="B771" s="250"/>
      <c r="W771" s="250"/>
    </row>
    <row r="772" spans="1:23" ht="15.75" customHeight="1">
      <c r="A772" s="250"/>
      <c r="B772" s="250"/>
      <c r="W772" s="250"/>
    </row>
    <row r="773" spans="1:23" ht="15.75" customHeight="1">
      <c r="A773" s="250"/>
      <c r="B773" s="250"/>
      <c r="W773" s="250"/>
    </row>
    <row r="774" spans="1:23" ht="15.75" customHeight="1">
      <c r="A774" s="250"/>
      <c r="B774" s="250"/>
      <c r="W774" s="250"/>
    </row>
    <row r="775" spans="1:23" ht="15.75" customHeight="1">
      <c r="A775" s="250"/>
      <c r="B775" s="250"/>
      <c r="W775" s="250"/>
    </row>
    <row r="776" spans="1:23" ht="15.75" customHeight="1">
      <c r="A776" s="250"/>
      <c r="B776" s="250"/>
      <c r="W776" s="250"/>
    </row>
    <row r="777" spans="1:23" ht="15.75" customHeight="1">
      <c r="A777" s="250"/>
      <c r="B777" s="250"/>
      <c r="W777" s="250"/>
    </row>
    <row r="778" spans="1:23" ht="15.75" customHeight="1">
      <c r="A778" s="250"/>
      <c r="B778" s="250"/>
      <c r="W778" s="250"/>
    </row>
    <row r="779" spans="1:23" ht="15.75" customHeight="1">
      <c r="A779" s="250"/>
      <c r="B779" s="250"/>
      <c r="W779" s="250"/>
    </row>
    <row r="780" spans="1:23" ht="15.75" customHeight="1">
      <c r="A780" s="250"/>
      <c r="B780" s="250"/>
      <c r="W780" s="250"/>
    </row>
    <row r="781" spans="1:23" ht="15.75" customHeight="1">
      <c r="A781" s="250"/>
      <c r="B781" s="250"/>
      <c r="W781" s="250"/>
    </row>
    <row r="782" spans="1:23" ht="15.75" customHeight="1">
      <c r="A782" s="250"/>
      <c r="B782" s="250"/>
      <c r="W782" s="250"/>
    </row>
    <row r="783" spans="1:23" ht="15.75" customHeight="1">
      <c r="A783" s="250"/>
      <c r="B783" s="250"/>
      <c r="W783" s="250"/>
    </row>
    <row r="784" spans="1:23" ht="15.75" customHeight="1">
      <c r="A784" s="250"/>
      <c r="B784" s="250"/>
      <c r="W784" s="250"/>
    </row>
    <row r="785" spans="1:23" ht="15.75" customHeight="1">
      <c r="A785" s="250"/>
      <c r="B785" s="250"/>
      <c r="W785" s="250"/>
    </row>
    <row r="786" spans="1:23" ht="15.75" customHeight="1">
      <c r="A786" s="250"/>
      <c r="B786" s="250"/>
      <c r="W786" s="250"/>
    </row>
    <row r="787" spans="1:23" ht="15.75" customHeight="1">
      <c r="A787" s="250"/>
      <c r="B787" s="250"/>
      <c r="W787" s="250"/>
    </row>
    <row r="788" spans="1:23" ht="15.75" customHeight="1">
      <c r="A788" s="250"/>
      <c r="B788" s="250"/>
      <c r="W788" s="250"/>
    </row>
    <row r="789" spans="1:23" ht="15.75" customHeight="1">
      <c r="A789" s="250"/>
      <c r="B789" s="250"/>
      <c r="W789" s="250"/>
    </row>
    <row r="790" spans="1:23" ht="15.75" customHeight="1">
      <c r="A790" s="250"/>
      <c r="B790" s="250"/>
      <c r="W790" s="250"/>
    </row>
    <row r="791" spans="1:23" ht="15.75" customHeight="1">
      <c r="A791" s="250"/>
      <c r="B791" s="250"/>
      <c r="W791" s="250"/>
    </row>
    <row r="792" spans="1:23" ht="15.75" customHeight="1">
      <c r="A792" s="250"/>
      <c r="B792" s="250"/>
      <c r="W792" s="250"/>
    </row>
    <row r="793" spans="1:23" ht="15.75" customHeight="1">
      <c r="A793" s="250"/>
      <c r="B793" s="250"/>
      <c r="W793" s="250"/>
    </row>
    <row r="794" spans="1:23" ht="15.75" customHeight="1">
      <c r="A794" s="250"/>
      <c r="B794" s="250"/>
      <c r="W794" s="250"/>
    </row>
    <row r="795" spans="1:23" ht="15.75" customHeight="1">
      <c r="A795" s="250"/>
      <c r="B795" s="250"/>
      <c r="W795" s="250"/>
    </row>
    <row r="796" spans="1:23" ht="15.75" customHeight="1">
      <c r="A796" s="250"/>
      <c r="B796" s="250"/>
      <c r="W796" s="250"/>
    </row>
    <row r="797" spans="1:23" ht="15.75" customHeight="1">
      <c r="A797" s="250"/>
      <c r="B797" s="250"/>
      <c r="W797" s="250"/>
    </row>
    <row r="798" spans="1:23" ht="15.75" customHeight="1">
      <c r="A798" s="250"/>
      <c r="B798" s="250"/>
      <c r="W798" s="250"/>
    </row>
    <row r="799" spans="1:23" ht="15.75" customHeight="1">
      <c r="A799" s="250"/>
      <c r="B799" s="250"/>
      <c r="W799" s="250"/>
    </row>
    <row r="800" spans="1:23" ht="15.75" customHeight="1">
      <c r="A800" s="250"/>
      <c r="B800" s="250"/>
      <c r="W800" s="250"/>
    </row>
    <row r="801" spans="1:23" ht="15.75" customHeight="1">
      <c r="A801" s="250"/>
      <c r="B801" s="250"/>
      <c r="W801" s="250"/>
    </row>
    <row r="802" spans="1:23" ht="15.75" customHeight="1">
      <c r="A802" s="250"/>
      <c r="B802" s="250"/>
      <c r="W802" s="250"/>
    </row>
    <row r="803" spans="1:23" ht="15.75" customHeight="1">
      <c r="A803" s="250"/>
      <c r="B803" s="250"/>
      <c r="W803" s="250"/>
    </row>
    <row r="804" spans="1:23" ht="15.75" customHeight="1">
      <c r="A804" s="250"/>
      <c r="B804" s="250"/>
      <c r="W804" s="250"/>
    </row>
    <row r="805" spans="1:23" ht="15.75" customHeight="1">
      <c r="A805" s="250"/>
      <c r="B805" s="250"/>
      <c r="W805" s="250"/>
    </row>
    <row r="806" spans="1:23" ht="15.75" customHeight="1">
      <c r="A806" s="250"/>
      <c r="B806" s="250"/>
      <c r="W806" s="250"/>
    </row>
    <row r="807" spans="1:23" ht="15.75" customHeight="1">
      <c r="A807" s="250"/>
      <c r="B807" s="250"/>
      <c r="W807" s="250"/>
    </row>
    <row r="808" spans="1:23" ht="15.75" customHeight="1">
      <c r="A808" s="250"/>
      <c r="B808" s="250"/>
      <c r="W808" s="250"/>
    </row>
    <row r="809" spans="1:23" ht="15.75" customHeight="1">
      <c r="A809" s="250"/>
      <c r="B809" s="250"/>
      <c r="W809" s="250"/>
    </row>
    <row r="810" spans="1:23" ht="15.75" customHeight="1">
      <c r="A810" s="250"/>
      <c r="B810" s="250"/>
      <c r="W810" s="250"/>
    </row>
    <row r="811" spans="1:23" ht="15.75" customHeight="1">
      <c r="A811" s="250"/>
      <c r="B811" s="250"/>
      <c r="W811" s="250"/>
    </row>
    <row r="812" spans="1:23" ht="15.75" customHeight="1">
      <c r="A812" s="250"/>
      <c r="B812" s="250"/>
      <c r="W812" s="250"/>
    </row>
    <row r="813" spans="1:23" ht="15.75" customHeight="1">
      <c r="A813" s="250"/>
      <c r="B813" s="250"/>
      <c r="W813" s="250"/>
    </row>
    <row r="814" spans="1:23" ht="15.75" customHeight="1">
      <c r="A814" s="250"/>
      <c r="B814" s="250"/>
      <c r="W814" s="250"/>
    </row>
    <row r="815" spans="1:23" ht="15.75" customHeight="1">
      <c r="A815" s="250"/>
      <c r="B815" s="250"/>
      <c r="W815" s="250"/>
    </row>
    <row r="816" spans="1:23" ht="15.75" customHeight="1">
      <c r="A816" s="250"/>
      <c r="B816" s="250"/>
      <c r="W816" s="250"/>
    </row>
    <row r="817" spans="1:23" ht="15.75" customHeight="1">
      <c r="A817" s="250"/>
      <c r="B817" s="250"/>
      <c r="W817" s="250"/>
    </row>
    <row r="818" spans="1:23" ht="15.75" customHeight="1">
      <c r="A818" s="250"/>
      <c r="B818" s="250"/>
      <c r="W818" s="250"/>
    </row>
    <row r="819" spans="1:23" ht="15.75" customHeight="1">
      <c r="A819" s="250"/>
      <c r="B819" s="250"/>
      <c r="W819" s="250"/>
    </row>
    <row r="820" spans="1:23" ht="15.75" customHeight="1">
      <c r="A820" s="250"/>
      <c r="B820" s="250"/>
      <c r="W820" s="250"/>
    </row>
    <row r="821" spans="1:23" ht="15.75" customHeight="1">
      <c r="A821" s="250"/>
      <c r="B821" s="250"/>
      <c r="W821" s="250"/>
    </row>
    <row r="822" spans="1:23" ht="15.75" customHeight="1">
      <c r="A822" s="250"/>
      <c r="B822" s="250"/>
      <c r="W822" s="250"/>
    </row>
    <row r="823" spans="1:23" ht="15.75" customHeight="1">
      <c r="A823" s="250"/>
      <c r="B823" s="250"/>
      <c r="W823" s="250"/>
    </row>
    <row r="824" spans="1:23" ht="15.75" customHeight="1">
      <c r="A824" s="250"/>
      <c r="B824" s="250"/>
      <c r="W824" s="250"/>
    </row>
    <row r="825" spans="1:23" ht="15.75" customHeight="1">
      <c r="A825" s="250"/>
      <c r="B825" s="250"/>
      <c r="W825" s="250"/>
    </row>
    <row r="826" spans="1:23" ht="15.75" customHeight="1">
      <c r="A826" s="250"/>
      <c r="B826" s="250"/>
      <c r="W826" s="250"/>
    </row>
    <row r="827" spans="1:23" ht="15.75" customHeight="1">
      <c r="A827" s="250"/>
      <c r="B827" s="250"/>
      <c r="W827" s="250"/>
    </row>
    <row r="828" spans="1:23" ht="15.75" customHeight="1">
      <c r="A828" s="250"/>
      <c r="B828" s="250"/>
      <c r="W828" s="250"/>
    </row>
    <row r="829" spans="1:23" ht="15.75" customHeight="1">
      <c r="A829" s="250"/>
      <c r="B829" s="250"/>
      <c r="W829" s="250"/>
    </row>
    <row r="830" spans="1:23" ht="15.75" customHeight="1">
      <c r="A830" s="250"/>
      <c r="B830" s="250"/>
      <c r="W830" s="250"/>
    </row>
    <row r="831" spans="1:23" ht="15.75" customHeight="1">
      <c r="A831" s="250"/>
      <c r="B831" s="250"/>
      <c r="W831" s="250"/>
    </row>
    <row r="832" spans="1:23" ht="15.75" customHeight="1">
      <c r="A832" s="250"/>
      <c r="B832" s="250"/>
      <c r="W832" s="250"/>
    </row>
    <row r="833" spans="1:23" ht="15.75" customHeight="1">
      <c r="A833" s="250"/>
      <c r="B833" s="250"/>
      <c r="W833" s="250"/>
    </row>
    <row r="834" spans="1:23" ht="15.75" customHeight="1">
      <c r="A834" s="250"/>
      <c r="B834" s="250"/>
      <c r="W834" s="250"/>
    </row>
    <row r="835" spans="1:23" ht="15.75" customHeight="1">
      <c r="A835" s="250"/>
      <c r="B835" s="250"/>
      <c r="W835" s="250"/>
    </row>
    <row r="836" spans="1:23" ht="15.75" customHeight="1">
      <c r="A836" s="250"/>
      <c r="B836" s="250"/>
      <c r="W836" s="250"/>
    </row>
    <row r="837" spans="1:23" ht="15.75" customHeight="1">
      <c r="A837" s="250"/>
      <c r="B837" s="250"/>
      <c r="W837" s="250"/>
    </row>
    <row r="838" spans="1:23" ht="15.75" customHeight="1">
      <c r="A838" s="250"/>
      <c r="B838" s="250"/>
      <c r="W838" s="250"/>
    </row>
    <row r="839" spans="1:23" ht="15.75" customHeight="1">
      <c r="A839" s="250"/>
      <c r="B839" s="250"/>
      <c r="W839" s="250"/>
    </row>
    <row r="840" spans="1:23" ht="15.75" customHeight="1">
      <c r="A840" s="250"/>
      <c r="B840" s="250"/>
      <c r="W840" s="250"/>
    </row>
    <row r="841" spans="1:23" ht="15.75" customHeight="1">
      <c r="A841" s="250"/>
      <c r="B841" s="250"/>
      <c r="W841" s="250"/>
    </row>
    <row r="842" spans="1:23" ht="15.75" customHeight="1">
      <c r="A842" s="250"/>
      <c r="B842" s="250"/>
      <c r="W842" s="250"/>
    </row>
    <row r="843" spans="1:23" ht="15.75" customHeight="1">
      <c r="A843" s="250"/>
      <c r="B843" s="250"/>
      <c r="W843" s="250"/>
    </row>
    <row r="844" spans="1:23" ht="15.75" customHeight="1">
      <c r="A844" s="250"/>
      <c r="B844" s="250"/>
      <c r="W844" s="250"/>
    </row>
    <row r="845" spans="1:23" ht="15.75" customHeight="1">
      <c r="A845" s="250"/>
      <c r="B845" s="250"/>
      <c r="W845" s="250"/>
    </row>
    <row r="846" spans="1:23" ht="15.75" customHeight="1">
      <c r="A846" s="250"/>
      <c r="B846" s="250"/>
      <c r="W846" s="250"/>
    </row>
    <row r="847" spans="1:23" ht="15.75" customHeight="1">
      <c r="A847" s="250"/>
      <c r="B847" s="250"/>
      <c r="W847" s="250"/>
    </row>
    <row r="848" spans="1:23" ht="15.75" customHeight="1">
      <c r="A848" s="250"/>
      <c r="B848" s="250"/>
      <c r="W848" s="250"/>
    </row>
    <row r="849" spans="1:23" ht="15.75" customHeight="1">
      <c r="A849" s="250"/>
      <c r="B849" s="250"/>
      <c r="W849" s="250"/>
    </row>
    <row r="850" spans="1:23" ht="15.75" customHeight="1">
      <c r="A850" s="250"/>
      <c r="B850" s="250"/>
      <c r="W850" s="250"/>
    </row>
    <row r="851" spans="1:23" ht="15.75" customHeight="1">
      <c r="A851" s="250"/>
      <c r="B851" s="250"/>
      <c r="W851" s="250"/>
    </row>
    <row r="852" spans="1:23" ht="15.75" customHeight="1">
      <c r="A852" s="250"/>
      <c r="B852" s="250"/>
      <c r="W852" s="250"/>
    </row>
    <row r="853" spans="1:23" ht="15.75" customHeight="1">
      <c r="A853" s="250"/>
      <c r="B853" s="250"/>
      <c r="W853" s="250"/>
    </row>
    <row r="854" spans="1:23" ht="15.75" customHeight="1">
      <c r="A854" s="250"/>
      <c r="B854" s="250"/>
      <c r="W854" s="250"/>
    </row>
    <row r="855" spans="1:23" ht="15.75" customHeight="1">
      <c r="A855" s="250"/>
      <c r="B855" s="250"/>
      <c r="W855" s="250"/>
    </row>
    <row r="856" spans="1:23" ht="15.75" customHeight="1">
      <c r="A856" s="250"/>
      <c r="B856" s="250"/>
      <c r="W856" s="250"/>
    </row>
    <row r="857" spans="1:23" ht="15.75" customHeight="1">
      <c r="A857" s="250"/>
      <c r="B857" s="250"/>
      <c r="W857" s="250"/>
    </row>
    <row r="858" spans="1:23" ht="15.75" customHeight="1">
      <c r="A858" s="250"/>
      <c r="B858" s="250"/>
      <c r="W858" s="250"/>
    </row>
    <row r="859" spans="1:23" ht="15.75" customHeight="1">
      <c r="A859" s="250"/>
      <c r="B859" s="250"/>
      <c r="W859" s="250"/>
    </row>
    <row r="860" spans="1:23" ht="15.75" customHeight="1">
      <c r="A860" s="250"/>
      <c r="B860" s="250"/>
      <c r="W860" s="250"/>
    </row>
    <row r="861" spans="1:23" ht="15.75" customHeight="1">
      <c r="A861" s="250"/>
      <c r="B861" s="250"/>
      <c r="W861" s="250"/>
    </row>
    <row r="862" spans="1:23" ht="15.75" customHeight="1">
      <c r="A862" s="250"/>
      <c r="B862" s="250"/>
      <c r="W862" s="250"/>
    </row>
    <row r="863" spans="1:23" ht="15.75" customHeight="1">
      <c r="A863" s="250"/>
      <c r="B863" s="250"/>
      <c r="W863" s="250"/>
    </row>
    <row r="864" spans="1:23" ht="15.75" customHeight="1">
      <c r="A864" s="250"/>
      <c r="B864" s="250"/>
      <c r="W864" s="250"/>
    </row>
    <row r="865" spans="1:23" ht="15.75" customHeight="1">
      <c r="A865" s="250"/>
      <c r="B865" s="250"/>
      <c r="W865" s="250"/>
    </row>
    <row r="866" spans="1:23" ht="15.75" customHeight="1">
      <c r="A866" s="250"/>
      <c r="B866" s="250"/>
      <c r="W866" s="250"/>
    </row>
    <row r="867" spans="1:23" ht="15.75" customHeight="1">
      <c r="A867" s="250"/>
      <c r="B867" s="250"/>
      <c r="W867" s="250"/>
    </row>
    <row r="868" spans="1:23" ht="15.75" customHeight="1">
      <c r="A868" s="250"/>
      <c r="B868" s="250"/>
      <c r="W868" s="250"/>
    </row>
    <row r="869" spans="1:23" ht="15.75" customHeight="1">
      <c r="A869" s="250"/>
      <c r="B869" s="250"/>
      <c r="W869" s="250"/>
    </row>
    <row r="870" spans="1:23" ht="15.75" customHeight="1">
      <c r="A870" s="250"/>
      <c r="B870" s="250"/>
      <c r="W870" s="250"/>
    </row>
    <row r="871" spans="1:23" ht="15.75" customHeight="1">
      <c r="A871" s="250"/>
      <c r="B871" s="250"/>
      <c r="W871" s="250"/>
    </row>
    <row r="872" spans="1:23" ht="15.75" customHeight="1">
      <c r="A872" s="250"/>
      <c r="B872" s="250"/>
      <c r="W872" s="250"/>
    </row>
    <row r="873" spans="1:23" ht="15.75" customHeight="1">
      <c r="A873" s="250"/>
      <c r="B873" s="250"/>
      <c r="W873" s="250"/>
    </row>
    <row r="874" spans="1:23" ht="15.75" customHeight="1">
      <c r="A874" s="250"/>
      <c r="B874" s="250"/>
      <c r="W874" s="250"/>
    </row>
    <row r="875" spans="1:23" ht="15.75" customHeight="1">
      <c r="A875" s="250"/>
      <c r="B875" s="250"/>
      <c r="W875" s="250"/>
    </row>
    <row r="876" spans="1:23" ht="15.75" customHeight="1">
      <c r="A876" s="250"/>
      <c r="B876" s="250"/>
      <c r="W876" s="250"/>
    </row>
    <row r="877" spans="1:23" ht="15.75" customHeight="1">
      <c r="A877" s="250"/>
      <c r="B877" s="250"/>
      <c r="W877" s="250"/>
    </row>
    <row r="878" spans="1:23" ht="15.75" customHeight="1">
      <c r="A878" s="250"/>
      <c r="B878" s="250"/>
      <c r="W878" s="250"/>
    </row>
    <row r="879" spans="1:23" ht="15.75" customHeight="1">
      <c r="A879" s="250"/>
      <c r="B879" s="250"/>
      <c r="W879" s="250"/>
    </row>
    <row r="880" spans="1:23" ht="15.75" customHeight="1">
      <c r="A880" s="250"/>
      <c r="B880" s="250"/>
      <c r="W880" s="250"/>
    </row>
    <row r="881" spans="1:23" ht="15.75" customHeight="1">
      <c r="A881" s="250"/>
      <c r="B881" s="250"/>
      <c r="W881" s="250"/>
    </row>
    <row r="882" spans="1:23" ht="15.75" customHeight="1">
      <c r="A882" s="250"/>
      <c r="B882" s="250"/>
      <c r="W882" s="250"/>
    </row>
    <row r="883" spans="1:23" ht="15.75" customHeight="1">
      <c r="A883" s="250"/>
      <c r="B883" s="250"/>
      <c r="W883" s="250"/>
    </row>
    <row r="884" spans="1:23" ht="15.75" customHeight="1">
      <c r="A884" s="250"/>
      <c r="B884" s="250"/>
      <c r="W884" s="250"/>
    </row>
    <row r="885" spans="1:23" ht="15.75" customHeight="1">
      <c r="A885" s="250"/>
      <c r="B885" s="250"/>
      <c r="W885" s="250"/>
    </row>
    <row r="886" spans="1:23" ht="15.75" customHeight="1">
      <c r="A886" s="250"/>
      <c r="B886" s="250"/>
      <c r="W886" s="250"/>
    </row>
    <row r="887" spans="1:23" ht="15.75" customHeight="1">
      <c r="A887" s="250"/>
      <c r="B887" s="250"/>
      <c r="W887" s="250"/>
    </row>
    <row r="888" spans="1:23" ht="15.75" customHeight="1">
      <c r="A888" s="250"/>
      <c r="B888" s="250"/>
      <c r="W888" s="250"/>
    </row>
    <row r="889" spans="1:23" ht="15.75" customHeight="1">
      <c r="A889" s="250"/>
      <c r="B889" s="250"/>
      <c r="W889" s="250"/>
    </row>
    <row r="890" spans="1:23" ht="15.75" customHeight="1">
      <c r="A890" s="250"/>
      <c r="B890" s="250"/>
      <c r="W890" s="250"/>
    </row>
    <row r="891" spans="1:23" ht="15.75" customHeight="1">
      <c r="A891" s="250"/>
      <c r="B891" s="250"/>
      <c r="W891" s="250"/>
    </row>
    <row r="892" spans="1:23" ht="15.75" customHeight="1">
      <c r="A892" s="250"/>
      <c r="B892" s="250"/>
      <c r="W892" s="250"/>
    </row>
    <row r="893" spans="1:23" ht="15.75" customHeight="1">
      <c r="A893" s="250"/>
      <c r="B893" s="250"/>
      <c r="W893" s="250"/>
    </row>
    <row r="894" spans="1:23" ht="15.75" customHeight="1">
      <c r="A894" s="250"/>
      <c r="B894" s="250"/>
      <c r="W894" s="250"/>
    </row>
    <row r="895" spans="1:23" ht="15.75" customHeight="1">
      <c r="A895" s="250"/>
      <c r="B895" s="250"/>
      <c r="W895" s="250"/>
    </row>
    <row r="896" spans="1:23" ht="15.75" customHeight="1">
      <c r="A896" s="250"/>
      <c r="B896" s="250"/>
      <c r="W896" s="250"/>
    </row>
    <row r="897" spans="1:23" ht="15.75" customHeight="1">
      <c r="A897" s="250"/>
      <c r="B897" s="250"/>
      <c r="W897" s="250"/>
    </row>
    <row r="898" spans="1:23" ht="15.75" customHeight="1">
      <c r="A898" s="250"/>
      <c r="B898" s="250"/>
      <c r="W898" s="250"/>
    </row>
    <row r="899" spans="1:23" ht="15.75" customHeight="1">
      <c r="A899" s="250"/>
      <c r="B899" s="250"/>
      <c r="W899" s="250"/>
    </row>
    <row r="900" spans="1:23" ht="15.75" customHeight="1">
      <c r="A900" s="250"/>
      <c r="B900" s="250"/>
      <c r="W900" s="250"/>
    </row>
    <row r="901" spans="1:23" ht="15.75" customHeight="1">
      <c r="A901" s="250"/>
      <c r="B901" s="250"/>
      <c r="W901" s="250"/>
    </row>
    <row r="902" spans="1:23" ht="15.75" customHeight="1">
      <c r="A902" s="250"/>
      <c r="B902" s="250"/>
      <c r="W902" s="250"/>
    </row>
    <row r="903" spans="1:23" ht="15.75" customHeight="1">
      <c r="A903" s="250"/>
      <c r="B903" s="250"/>
      <c r="W903" s="250"/>
    </row>
    <row r="904" spans="1:23" ht="15.75" customHeight="1">
      <c r="A904" s="250"/>
      <c r="B904" s="250"/>
      <c r="W904" s="250"/>
    </row>
    <row r="905" spans="1:23" ht="15.75" customHeight="1">
      <c r="A905" s="250"/>
      <c r="B905" s="250"/>
      <c r="W905" s="250"/>
    </row>
    <row r="906" spans="1:23" ht="15.75" customHeight="1">
      <c r="A906" s="250"/>
      <c r="B906" s="250"/>
      <c r="W906" s="250"/>
    </row>
    <row r="907" spans="1:23" ht="15.75" customHeight="1">
      <c r="A907" s="250"/>
      <c r="B907" s="250"/>
      <c r="W907" s="250"/>
    </row>
    <row r="908" spans="1:23" ht="15.75" customHeight="1">
      <c r="A908" s="250"/>
      <c r="B908" s="250"/>
      <c r="W908" s="250"/>
    </row>
    <row r="909" spans="1:23" ht="15.75" customHeight="1">
      <c r="A909" s="250"/>
      <c r="B909" s="250"/>
      <c r="W909" s="250"/>
    </row>
    <row r="910" spans="1:23" ht="15.75" customHeight="1">
      <c r="A910" s="250"/>
      <c r="B910" s="250"/>
      <c r="W910" s="250"/>
    </row>
    <row r="911" spans="1:23" ht="15.75" customHeight="1">
      <c r="A911" s="250"/>
      <c r="B911" s="250"/>
      <c r="W911" s="250"/>
    </row>
    <row r="912" spans="1:23" ht="15.75" customHeight="1">
      <c r="A912" s="250"/>
      <c r="B912" s="250"/>
      <c r="W912" s="250"/>
    </row>
    <row r="913" spans="1:23" ht="15.75" customHeight="1">
      <c r="A913" s="250"/>
      <c r="B913" s="250"/>
      <c r="W913" s="250"/>
    </row>
    <row r="914" spans="1:23" ht="15.75" customHeight="1">
      <c r="A914" s="250"/>
      <c r="B914" s="250"/>
      <c r="W914" s="250"/>
    </row>
    <row r="915" spans="1:23" ht="15.75" customHeight="1">
      <c r="A915" s="250"/>
      <c r="B915" s="250"/>
      <c r="W915" s="250"/>
    </row>
    <row r="916" spans="1:23" ht="15.75" customHeight="1">
      <c r="A916" s="250"/>
      <c r="B916" s="250"/>
      <c r="W916" s="250"/>
    </row>
    <row r="917" spans="1:23" ht="15.75" customHeight="1">
      <c r="A917" s="250"/>
      <c r="B917" s="250"/>
      <c r="W917" s="250"/>
    </row>
    <row r="918" spans="1:23" ht="15.75" customHeight="1">
      <c r="A918" s="250"/>
      <c r="B918" s="250"/>
      <c r="W918" s="250"/>
    </row>
    <row r="919" spans="1:23" ht="15.75" customHeight="1">
      <c r="A919" s="250"/>
      <c r="B919" s="250"/>
      <c r="W919" s="250"/>
    </row>
    <row r="920" spans="1:23" ht="15.75" customHeight="1">
      <c r="A920" s="250"/>
      <c r="B920" s="250"/>
      <c r="W920" s="250"/>
    </row>
    <row r="921" spans="1:23" ht="15.75" customHeight="1">
      <c r="A921" s="250"/>
      <c r="B921" s="250"/>
      <c r="W921" s="250"/>
    </row>
    <row r="922" spans="1:23" ht="15.75" customHeight="1">
      <c r="A922" s="250"/>
      <c r="B922" s="250"/>
      <c r="W922" s="250"/>
    </row>
    <row r="923" spans="1:23" ht="15.75" customHeight="1">
      <c r="A923" s="250"/>
      <c r="B923" s="250"/>
      <c r="W923" s="250"/>
    </row>
    <row r="924" spans="1:23" ht="15.75" customHeight="1">
      <c r="A924" s="250"/>
      <c r="B924" s="250"/>
      <c r="W924" s="250"/>
    </row>
    <row r="925" spans="1:23" ht="15.75" customHeight="1">
      <c r="A925" s="250"/>
      <c r="B925" s="250"/>
      <c r="W925" s="250"/>
    </row>
    <row r="926" spans="1:23" ht="15.75" customHeight="1">
      <c r="A926" s="250"/>
      <c r="B926" s="250"/>
      <c r="W926" s="250"/>
    </row>
    <row r="927" spans="1:23" ht="15.75" customHeight="1">
      <c r="A927" s="250"/>
      <c r="B927" s="250"/>
      <c r="W927" s="250"/>
    </row>
    <row r="928" spans="1:23" ht="15.75" customHeight="1">
      <c r="A928" s="250"/>
      <c r="B928" s="250"/>
      <c r="W928" s="250"/>
    </row>
    <row r="929" spans="1:23" ht="15.75" customHeight="1">
      <c r="A929" s="250"/>
      <c r="B929" s="250"/>
      <c r="W929" s="250"/>
    </row>
    <row r="930" spans="1:23" ht="15.75" customHeight="1">
      <c r="A930" s="250"/>
      <c r="B930" s="250"/>
      <c r="W930" s="250"/>
    </row>
    <row r="931" spans="1:23" ht="15.75" customHeight="1">
      <c r="A931" s="250"/>
      <c r="B931" s="250"/>
      <c r="W931" s="250"/>
    </row>
    <row r="932" spans="1:23" ht="15.75" customHeight="1">
      <c r="A932" s="250"/>
      <c r="B932" s="250"/>
      <c r="W932" s="250"/>
    </row>
    <row r="933" spans="1:23" ht="15.75" customHeight="1">
      <c r="A933" s="250"/>
      <c r="B933" s="250"/>
      <c r="W933" s="250"/>
    </row>
    <row r="934" spans="1:23" ht="15.75" customHeight="1">
      <c r="A934" s="250"/>
      <c r="B934" s="250"/>
      <c r="W934" s="250"/>
    </row>
    <row r="935" spans="1:23" ht="15.75" customHeight="1">
      <c r="A935" s="250"/>
      <c r="B935" s="250"/>
      <c r="W935" s="250"/>
    </row>
    <row r="936" spans="1:23" ht="15.75" customHeight="1">
      <c r="A936" s="250"/>
      <c r="B936" s="250"/>
      <c r="W936" s="250"/>
    </row>
    <row r="937" spans="1:23" ht="15.75" customHeight="1">
      <c r="A937" s="250"/>
      <c r="B937" s="250"/>
      <c r="W937" s="250"/>
    </row>
    <row r="938" spans="1:23" ht="15.75" customHeight="1">
      <c r="A938" s="250"/>
      <c r="B938" s="250"/>
      <c r="W938" s="250"/>
    </row>
    <row r="939" spans="1:23" ht="15.75" customHeight="1">
      <c r="A939" s="250"/>
      <c r="B939" s="250"/>
      <c r="W939" s="250"/>
    </row>
    <row r="940" spans="1:23" ht="15.75" customHeight="1">
      <c r="A940" s="250"/>
      <c r="B940" s="250"/>
      <c r="W940" s="250"/>
    </row>
    <row r="941" spans="1:23" ht="15.75" customHeight="1">
      <c r="A941" s="250"/>
      <c r="B941" s="250"/>
      <c r="W941" s="250"/>
    </row>
    <row r="942" spans="1:23" ht="15.75" customHeight="1">
      <c r="A942" s="250"/>
      <c r="B942" s="250"/>
      <c r="W942" s="250"/>
    </row>
    <row r="943" spans="1:23" ht="15.75" customHeight="1">
      <c r="A943" s="250"/>
      <c r="B943" s="250"/>
      <c r="W943" s="250"/>
    </row>
    <row r="944" spans="1:23" ht="15.75" customHeight="1">
      <c r="A944" s="250"/>
      <c r="B944" s="250"/>
      <c r="W944" s="250"/>
    </row>
    <row r="945" spans="1:23" ht="15.75" customHeight="1">
      <c r="A945" s="250"/>
      <c r="B945" s="250"/>
      <c r="W945" s="250"/>
    </row>
    <row r="946" spans="1:23" ht="15.75" customHeight="1">
      <c r="A946" s="250"/>
      <c r="B946" s="250"/>
      <c r="W946" s="250"/>
    </row>
    <row r="947" spans="1:23" ht="15.75" customHeight="1">
      <c r="A947" s="250"/>
      <c r="B947" s="250"/>
      <c r="W947" s="250"/>
    </row>
    <row r="948" spans="1:23" ht="15.75" customHeight="1">
      <c r="A948" s="250"/>
      <c r="B948" s="250"/>
      <c r="W948" s="250"/>
    </row>
    <row r="949" spans="1:23" ht="15.75" customHeight="1">
      <c r="A949" s="250"/>
      <c r="B949" s="250"/>
      <c r="W949" s="250"/>
    </row>
    <row r="950" spans="1:23" ht="15.75" customHeight="1">
      <c r="A950" s="250"/>
      <c r="B950" s="250"/>
      <c r="W950" s="250"/>
    </row>
    <row r="951" spans="1:23" ht="15.75" customHeight="1">
      <c r="A951" s="250"/>
      <c r="B951" s="250"/>
      <c r="W951" s="250"/>
    </row>
    <row r="952" spans="1:23" ht="15.75" customHeight="1">
      <c r="A952" s="250"/>
      <c r="B952" s="250"/>
      <c r="W952" s="250"/>
    </row>
    <row r="953" spans="1:23" ht="15.75" customHeight="1">
      <c r="A953" s="250"/>
      <c r="B953" s="250"/>
      <c r="W953" s="250"/>
    </row>
    <row r="954" spans="1:23" ht="15.75" customHeight="1">
      <c r="A954" s="250"/>
      <c r="B954" s="250"/>
      <c r="W954" s="250"/>
    </row>
    <row r="955" spans="1:23" ht="15.75" customHeight="1">
      <c r="A955" s="250"/>
      <c r="B955" s="250"/>
      <c r="W955" s="250"/>
    </row>
    <row r="956" spans="1:23" ht="15.75" customHeight="1">
      <c r="A956" s="250"/>
      <c r="B956" s="250"/>
      <c r="W956" s="250"/>
    </row>
    <row r="957" spans="1:23" ht="15.75" customHeight="1">
      <c r="A957" s="250"/>
      <c r="B957" s="250"/>
      <c r="W957" s="250"/>
    </row>
    <row r="958" spans="1:23" ht="15.75" customHeight="1">
      <c r="A958" s="250"/>
      <c r="B958" s="250"/>
      <c r="W958" s="250"/>
    </row>
    <row r="959" spans="1:23" ht="15.75" customHeight="1">
      <c r="A959" s="250"/>
      <c r="B959" s="250"/>
      <c r="W959" s="250"/>
    </row>
    <row r="960" spans="1:23" ht="15.75" customHeight="1">
      <c r="A960" s="250"/>
      <c r="B960" s="250"/>
      <c r="W960" s="250"/>
    </row>
    <row r="961" spans="1:23" ht="15.75" customHeight="1">
      <c r="A961" s="250"/>
      <c r="B961" s="250"/>
      <c r="W961" s="250"/>
    </row>
    <row r="962" spans="1:23" ht="15.75" customHeight="1">
      <c r="A962" s="250"/>
      <c r="B962" s="250"/>
      <c r="W962" s="250"/>
    </row>
    <row r="963" spans="1:23" ht="15.75" customHeight="1">
      <c r="A963" s="250"/>
      <c r="B963" s="250"/>
      <c r="W963" s="250"/>
    </row>
    <row r="964" spans="1:23" ht="15.75" customHeight="1">
      <c r="A964" s="250"/>
      <c r="B964" s="250"/>
      <c r="W964" s="250"/>
    </row>
    <row r="965" spans="1:23" ht="15.75" customHeight="1">
      <c r="A965" s="250"/>
      <c r="B965" s="250"/>
      <c r="W965" s="250"/>
    </row>
    <row r="966" spans="1:23" ht="15.75" customHeight="1">
      <c r="A966" s="250"/>
      <c r="B966" s="250"/>
      <c r="W966" s="250"/>
    </row>
    <row r="967" spans="1:23" ht="15.75" customHeight="1">
      <c r="A967" s="250"/>
      <c r="B967" s="250"/>
      <c r="W967" s="250"/>
    </row>
    <row r="968" spans="1:23" ht="15.75" customHeight="1">
      <c r="A968" s="250"/>
      <c r="B968" s="250"/>
      <c r="W968" s="250"/>
    </row>
    <row r="969" spans="1:23" ht="15.75" customHeight="1">
      <c r="A969" s="250"/>
      <c r="B969" s="250"/>
      <c r="W969" s="250"/>
    </row>
    <row r="970" spans="1:23" ht="15.75" customHeight="1">
      <c r="A970" s="250"/>
      <c r="B970" s="250"/>
      <c r="W970" s="250"/>
    </row>
    <row r="971" spans="1:23" ht="15.75" customHeight="1">
      <c r="A971" s="250"/>
      <c r="B971" s="250"/>
      <c r="W971" s="250"/>
    </row>
    <row r="972" spans="1:23" ht="15.75" customHeight="1">
      <c r="A972" s="250"/>
      <c r="B972" s="250"/>
      <c r="W972" s="250"/>
    </row>
    <row r="973" spans="1:23" ht="15.75" customHeight="1">
      <c r="A973" s="250"/>
      <c r="B973" s="250"/>
      <c r="W973" s="250"/>
    </row>
    <row r="974" spans="1:23" ht="15.75" customHeight="1">
      <c r="A974" s="250"/>
      <c r="B974" s="250"/>
      <c r="W974" s="250"/>
    </row>
    <row r="975" spans="1:23" ht="15.75" customHeight="1">
      <c r="A975" s="250"/>
      <c r="B975" s="250"/>
      <c r="W975" s="250"/>
    </row>
    <row r="976" spans="1:23" ht="15.75" customHeight="1">
      <c r="A976" s="250"/>
      <c r="B976" s="250"/>
      <c r="W976" s="250"/>
    </row>
    <row r="977" spans="1:23" ht="15.75" customHeight="1">
      <c r="A977" s="250"/>
      <c r="B977" s="250"/>
      <c r="W977" s="250"/>
    </row>
    <row r="978" spans="1:23" ht="15.75" customHeight="1">
      <c r="A978" s="250"/>
      <c r="B978" s="250"/>
      <c r="W978" s="250"/>
    </row>
    <row r="979" spans="1:23" ht="15.75" customHeight="1">
      <c r="A979" s="250"/>
      <c r="B979" s="250"/>
      <c r="W979" s="250"/>
    </row>
    <row r="980" spans="1:23" ht="15.75" customHeight="1">
      <c r="A980" s="250"/>
      <c r="B980" s="250"/>
      <c r="W980" s="250"/>
    </row>
    <row r="981" spans="1:23" ht="15.75" customHeight="1">
      <c r="A981" s="250"/>
      <c r="B981" s="250"/>
      <c r="W981" s="250"/>
    </row>
    <row r="982" spans="1:23" ht="15.75" customHeight="1">
      <c r="A982" s="250"/>
      <c r="B982" s="250"/>
      <c r="W982" s="250"/>
    </row>
    <row r="983" spans="1:23" ht="15.75" customHeight="1">
      <c r="A983" s="250"/>
      <c r="B983" s="250"/>
      <c r="W983" s="250"/>
    </row>
    <row r="984" spans="1:23" ht="15.75" customHeight="1">
      <c r="A984" s="250"/>
      <c r="B984" s="250"/>
      <c r="W984" s="250"/>
    </row>
    <row r="985" spans="1:23" ht="15.75" customHeight="1">
      <c r="A985" s="250"/>
      <c r="B985" s="250"/>
      <c r="W985" s="250"/>
    </row>
    <row r="986" spans="1:23" ht="15.75" customHeight="1">
      <c r="A986" s="250"/>
      <c r="B986" s="250"/>
      <c r="W986" s="250"/>
    </row>
    <row r="987" spans="1:23" ht="15.75" customHeight="1">
      <c r="A987" s="250"/>
      <c r="B987" s="250"/>
      <c r="W987" s="250"/>
    </row>
    <row r="988" spans="1:23" ht="15.75" customHeight="1">
      <c r="A988" s="250"/>
      <c r="B988" s="250"/>
      <c r="W988" s="250"/>
    </row>
    <row r="989" spans="1:23" ht="15.75" customHeight="1">
      <c r="A989" s="250"/>
      <c r="B989" s="250"/>
      <c r="W989" s="250"/>
    </row>
    <row r="990" spans="1:23" ht="15.75" customHeight="1">
      <c r="A990" s="250"/>
      <c r="B990" s="250"/>
      <c r="W990" s="250"/>
    </row>
    <row r="991" spans="1:23" ht="15.75" customHeight="1">
      <c r="A991" s="250"/>
      <c r="B991" s="250"/>
      <c r="W991" s="250"/>
    </row>
    <row r="992" spans="1:23" ht="15.75" customHeight="1">
      <c r="A992" s="250"/>
      <c r="B992" s="250"/>
      <c r="W992" s="250"/>
    </row>
    <row r="993" spans="1:23" ht="15.75" customHeight="1">
      <c r="A993" s="250"/>
      <c r="B993" s="250"/>
      <c r="W993" s="250"/>
    </row>
    <row r="994" spans="1:23" ht="15.75" customHeight="1">
      <c r="A994" s="250"/>
      <c r="B994" s="250"/>
      <c r="W994" s="250"/>
    </row>
    <row r="995" spans="1:23" ht="15.75" customHeight="1">
      <c r="A995" s="250"/>
      <c r="B995" s="250"/>
      <c r="W995" s="250"/>
    </row>
    <row r="996" spans="1:23" ht="15.75" customHeight="1">
      <c r="A996" s="250"/>
      <c r="B996" s="250"/>
      <c r="W996" s="250"/>
    </row>
    <row r="997" spans="1:23" ht="15.75" customHeight="1">
      <c r="A997" s="250"/>
      <c r="B997" s="250"/>
      <c r="W997" s="250"/>
    </row>
    <row r="998" spans="1:23" ht="15.75" customHeight="1">
      <c r="A998" s="250"/>
      <c r="B998" s="250"/>
      <c r="W998" s="250"/>
    </row>
    <row r="999" spans="1:23" ht="15.75" customHeight="1">
      <c r="A999" s="250"/>
      <c r="B999" s="250"/>
      <c r="W999" s="250"/>
    </row>
    <row r="1000" spans="1:23" ht="15.75" customHeight="1">
      <c r="A1000" s="250"/>
      <c r="B1000" s="250"/>
      <c r="W1000" s="250"/>
    </row>
  </sheetData>
  <mergeCells count="21">
    <mergeCell ref="C2:X2"/>
    <mergeCell ref="C3:N3"/>
    <mergeCell ref="O3:P3"/>
    <mergeCell ref="Q3:R3"/>
    <mergeCell ref="S3:T3"/>
    <mergeCell ref="U3:V3"/>
    <mergeCell ref="Z3:AA3"/>
    <mergeCell ref="B32:X32"/>
    <mergeCell ref="B64:X64"/>
    <mergeCell ref="B88:X88"/>
    <mergeCell ref="B102:X102"/>
    <mergeCell ref="W4:W5"/>
    <mergeCell ref="X4:X5"/>
    <mergeCell ref="Y4:Y5"/>
    <mergeCell ref="A116:B116"/>
    <mergeCell ref="C118:V118"/>
    <mergeCell ref="C120:V120"/>
    <mergeCell ref="A4:A5"/>
    <mergeCell ref="B4:B5"/>
    <mergeCell ref="A6:B6"/>
    <mergeCell ref="B15:X15"/>
  </mergeCells>
  <conditionalFormatting sqref="F16:N16">
    <cfRule type="colorScale" priority="1">
      <colorScale>
        <cfvo type="min"/>
        <cfvo type="max"/>
        <color rgb="FF57BB8A"/>
        <color rgb="FFFFFFFF"/>
      </colorScale>
    </cfRule>
  </conditionalFormatting>
  <conditionalFormatting sqref="H17:I18">
    <cfRule type="colorScale" priority="2">
      <colorScale>
        <cfvo type="min"/>
        <cfvo type="max"/>
        <color rgb="FF57BB8A"/>
        <color rgb="FFFFFFFF"/>
      </colorScale>
    </cfRule>
  </conditionalFormatting>
  <conditionalFormatting sqref="J19:K19">
    <cfRule type="colorScale" priority="3">
      <colorScale>
        <cfvo type="min"/>
        <cfvo type="max"/>
        <color rgb="FF57BB8A"/>
        <color rgb="FFFFFFFF"/>
      </colorScale>
    </cfRule>
  </conditionalFormatting>
  <conditionalFormatting sqref="C6:I6 C7:G7 C8:D9 C10:I14 C17:G18 C19:I31 C33:G33 C34:H34 C35:G36 C37:I43 C44:G44 C45:H45 C46:I46 C47:H49 C50 C51:I63 C65:G65 C66:I69 C70:F73 C74:G74 C75:F79 C80:G80 C81:I87 C116:I116 E50:I50 F8:I9 J7:L7 Q7:R7">
    <cfRule type="colorScale" priority="4">
      <colorScale>
        <cfvo type="min"/>
        <cfvo type="max"/>
        <color rgb="FF57BB8A"/>
        <color rgb="FFFFFFFF"/>
      </colorScale>
    </cfRule>
  </conditionalFormatting>
  <conditionalFormatting sqref="J20:N20">
    <cfRule type="colorScale" priority="5">
      <colorScale>
        <cfvo type="min"/>
        <cfvo type="max"/>
        <color rgb="FF57BB8A"/>
        <color rgb="FFFFFFFF"/>
      </colorScale>
    </cfRule>
  </conditionalFormatting>
  <conditionalFormatting sqref="J21:K22">
    <cfRule type="colorScale" priority="6">
      <colorScale>
        <cfvo type="min"/>
        <cfvo type="max"/>
        <color rgb="FF57BB8A"/>
        <color rgb="FFFFFFFF"/>
      </colorScale>
    </cfRule>
  </conditionalFormatting>
  <conditionalFormatting sqref="K23:N23">
    <cfRule type="colorScale" priority="7">
      <colorScale>
        <cfvo type="min"/>
        <cfvo type="max"/>
        <color rgb="FF57BB8A"/>
        <color rgb="FFFFFFFF"/>
      </colorScale>
    </cfRule>
  </conditionalFormatting>
  <conditionalFormatting sqref="K24:N27">
    <cfRule type="colorScale" priority="8">
      <colorScale>
        <cfvo type="min"/>
        <cfvo type="max"/>
        <color rgb="FF57BB8A"/>
        <color rgb="FFFFFFFF"/>
      </colorScale>
    </cfRule>
  </conditionalFormatting>
  <conditionalFormatting sqref="M28:N28">
    <cfRule type="colorScale" priority="9">
      <colorScale>
        <cfvo type="min"/>
        <cfvo type="max"/>
        <color rgb="FF57BB8A"/>
        <color rgb="FFFFFFFF"/>
      </colorScale>
    </cfRule>
  </conditionalFormatting>
  <conditionalFormatting sqref="N29:N30">
    <cfRule type="colorScale" priority="10">
      <colorScale>
        <cfvo type="min"/>
        <cfvo type="max"/>
        <color rgb="FF57BB8A"/>
        <color rgb="FFFFFFFF"/>
      </colorScale>
    </cfRule>
  </conditionalFormatting>
  <conditionalFormatting sqref="M31:N31">
    <cfRule type="colorScale" priority="11">
      <colorScale>
        <cfvo type="min"/>
        <cfvo type="max"/>
        <color rgb="FF57BB8A"/>
        <color rgb="FFFFFFFF"/>
      </colorScale>
    </cfRule>
  </conditionalFormatting>
  <conditionalFormatting sqref="H33:N33">
    <cfRule type="colorScale" priority="12">
      <colorScale>
        <cfvo type="min"/>
        <cfvo type="max"/>
        <color rgb="FF57BB8A"/>
        <color rgb="FFFFFFFF"/>
      </colorScale>
    </cfRule>
  </conditionalFormatting>
  <conditionalFormatting sqref="I34:J34">
    <cfRule type="colorScale" priority="13">
      <colorScale>
        <cfvo type="min"/>
        <cfvo type="max"/>
        <color rgb="FF57BB8A"/>
        <color rgb="FFFFFFFF"/>
      </colorScale>
    </cfRule>
  </conditionalFormatting>
  <conditionalFormatting sqref="H35:N35">
    <cfRule type="colorScale" priority="14">
      <colorScale>
        <cfvo type="min"/>
        <cfvo type="max"/>
        <color rgb="FF57BB8A"/>
        <color rgb="FFFFFFFF"/>
      </colorScale>
    </cfRule>
  </conditionalFormatting>
  <conditionalFormatting sqref="H36:N36">
    <cfRule type="colorScale" priority="15">
      <colorScale>
        <cfvo type="min"/>
        <cfvo type="max"/>
        <color rgb="FF57BB8A"/>
        <color rgb="FFFFFFFF"/>
      </colorScale>
    </cfRule>
  </conditionalFormatting>
  <conditionalFormatting sqref="J37:K42">
    <cfRule type="colorScale" priority="16">
      <colorScale>
        <cfvo type="min"/>
        <cfvo type="max"/>
        <color rgb="FF57BB8A"/>
        <color rgb="FFFFFFFF"/>
      </colorScale>
    </cfRule>
  </conditionalFormatting>
  <conditionalFormatting sqref="M43:N43">
    <cfRule type="colorScale" priority="17">
      <colorScale>
        <cfvo type="min"/>
        <cfvo type="max"/>
        <color rgb="FF57BB8A"/>
        <color rgb="FFFFFFFF"/>
      </colorScale>
    </cfRule>
  </conditionalFormatting>
  <conditionalFormatting sqref="H44:N44">
    <cfRule type="colorScale" priority="18">
      <colorScale>
        <cfvo type="min"/>
        <cfvo type="max"/>
        <color rgb="FF57BB8A"/>
        <color rgb="FFFFFFFF"/>
      </colorScale>
    </cfRule>
  </conditionalFormatting>
  <conditionalFormatting sqref="I45:J45">
    <cfRule type="colorScale" priority="19">
      <colorScale>
        <cfvo type="min"/>
        <cfvo type="max"/>
        <color rgb="FF57BB8A"/>
        <color rgb="FFFFFFFF"/>
      </colorScale>
    </cfRule>
  </conditionalFormatting>
  <conditionalFormatting sqref="K46:M46">
    <cfRule type="colorScale" priority="20">
      <colorScale>
        <cfvo type="min"/>
        <cfvo type="max"/>
        <color rgb="FF57BB8A"/>
        <color rgb="FFFFFFFF"/>
      </colorScale>
    </cfRule>
  </conditionalFormatting>
  <conditionalFormatting sqref="I47:K47">
    <cfRule type="colorScale" priority="21">
      <colorScale>
        <cfvo type="min"/>
        <cfvo type="max"/>
        <color rgb="FF57BB8A"/>
        <color rgb="FFFFFFFF"/>
      </colorScale>
    </cfRule>
  </conditionalFormatting>
  <conditionalFormatting sqref="I48:N48">
    <cfRule type="colorScale" priority="22">
      <colorScale>
        <cfvo type="min"/>
        <cfvo type="max"/>
        <color rgb="FF57BB8A"/>
        <color rgb="FFFFFFFF"/>
      </colorScale>
    </cfRule>
  </conditionalFormatting>
  <conditionalFormatting sqref="I49:J49">
    <cfRule type="colorScale" priority="23">
      <colorScale>
        <cfvo type="min"/>
        <cfvo type="max"/>
        <color rgb="FF57BB8A"/>
        <color rgb="FFFFFFFF"/>
      </colorScale>
    </cfRule>
  </conditionalFormatting>
  <conditionalFormatting sqref="J50:L50">
    <cfRule type="colorScale" priority="24">
      <colorScale>
        <cfvo type="min"/>
        <cfvo type="max"/>
        <color rgb="FF57BB8A"/>
        <color rgb="FFFFFFFF"/>
      </colorScale>
    </cfRule>
  </conditionalFormatting>
  <conditionalFormatting sqref="M51:N51">
    <cfRule type="colorScale" priority="25">
      <colorScale>
        <cfvo type="min"/>
        <cfvo type="max"/>
        <color rgb="FF57BB8A"/>
        <color rgb="FFFFFFFF"/>
      </colorScale>
    </cfRule>
  </conditionalFormatting>
  <conditionalFormatting sqref="N52:P52">
    <cfRule type="colorScale" priority="26">
      <colorScale>
        <cfvo type="min"/>
        <cfvo type="max"/>
        <color rgb="FF57BB8A"/>
        <color rgb="FFFFFFFF"/>
      </colorScale>
    </cfRule>
  </conditionalFormatting>
  <conditionalFormatting sqref="J53:N53">
    <cfRule type="colorScale" priority="27">
      <colorScale>
        <cfvo type="min"/>
        <cfvo type="max"/>
        <color rgb="FF57BB8A"/>
        <color rgb="FFFFFFFF"/>
      </colorScale>
    </cfRule>
  </conditionalFormatting>
  <conditionalFormatting sqref="K54:L54">
    <cfRule type="colorScale" priority="28">
      <colorScale>
        <cfvo type="min"/>
        <cfvo type="max"/>
        <color rgb="FF57BB8A"/>
        <color rgb="FFFFFFFF"/>
      </colorScale>
    </cfRule>
  </conditionalFormatting>
  <conditionalFormatting sqref="K55:M55">
    <cfRule type="colorScale" priority="29">
      <colorScale>
        <cfvo type="min"/>
        <cfvo type="max"/>
        <color rgb="FF57BB8A"/>
        <color rgb="FFFFFFFF"/>
      </colorScale>
    </cfRule>
  </conditionalFormatting>
  <conditionalFormatting sqref="L56:N56">
    <cfRule type="colorScale" priority="30">
      <colorScale>
        <cfvo type="min"/>
        <cfvo type="max"/>
        <color rgb="FF57BB8A"/>
        <color rgb="FFFFFFFF"/>
      </colorScale>
    </cfRule>
  </conditionalFormatting>
  <conditionalFormatting sqref="J57:N57">
    <cfRule type="colorScale" priority="31">
      <colorScale>
        <cfvo type="min"/>
        <cfvo type="max"/>
        <color rgb="FF57BB8A"/>
        <color rgb="FFFFFFFF"/>
      </colorScale>
    </cfRule>
  </conditionalFormatting>
  <conditionalFormatting sqref="J58:K58">
    <cfRule type="colorScale" priority="32">
      <colorScale>
        <cfvo type="min"/>
        <cfvo type="max"/>
        <color rgb="FF57BB8A"/>
        <color rgb="FFFFFFFF"/>
      </colorScale>
    </cfRule>
  </conditionalFormatting>
  <conditionalFormatting sqref="L59:M59">
    <cfRule type="colorScale" priority="33">
      <colorScale>
        <cfvo type="min"/>
        <cfvo type="max"/>
        <color rgb="FF57BB8A"/>
        <color rgb="FFFFFFFF"/>
      </colorScale>
    </cfRule>
  </conditionalFormatting>
  <conditionalFormatting sqref="M60:N60">
    <cfRule type="colorScale" priority="34">
      <colorScale>
        <cfvo type="min"/>
        <cfvo type="max"/>
        <color rgb="FF57BB8A"/>
        <color rgb="FFFFFFFF"/>
      </colorScale>
    </cfRule>
  </conditionalFormatting>
  <conditionalFormatting sqref="K61:N61">
    <cfRule type="colorScale" priority="35">
      <colorScale>
        <cfvo type="min"/>
        <cfvo type="max"/>
        <color rgb="FF57BB8A"/>
        <color rgb="FFFFFFFF"/>
      </colorScale>
    </cfRule>
  </conditionalFormatting>
  <conditionalFormatting sqref="L62:M63">
    <cfRule type="colorScale" priority="36">
      <colorScale>
        <cfvo type="min"/>
        <cfvo type="max"/>
        <color rgb="FF57BB8A"/>
        <color rgb="FFFFFFFF"/>
      </colorScale>
    </cfRule>
  </conditionalFormatting>
  <conditionalFormatting sqref="H65:N65">
    <cfRule type="colorScale" priority="37">
      <colorScale>
        <cfvo type="min"/>
        <cfvo type="max"/>
        <color rgb="FF57BB8A"/>
        <color rgb="FFFFFFFF"/>
      </colorScale>
    </cfRule>
  </conditionalFormatting>
  <conditionalFormatting sqref="G70:K73">
    <cfRule type="colorScale" priority="38">
      <colorScale>
        <cfvo type="min"/>
        <cfvo type="max"/>
        <color rgb="FF57BB8A"/>
        <color rgb="FFFFFFFF"/>
      </colorScale>
    </cfRule>
  </conditionalFormatting>
  <conditionalFormatting sqref="H74:J74">
    <cfRule type="colorScale" priority="39">
      <colorScale>
        <cfvo type="min"/>
        <cfvo type="max"/>
        <color rgb="FF57BB8A"/>
        <color rgb="FFFFFFFF"/>
      </colorScale>
    </cfRule>
  </conditionalFormatting>
  <conditionalFormatting sqref="G75:J78">
    <cfRule type="colorScale" priority="40">
      <colorScale>
        <cfvo type="min"/>
        <cfvo type="max"/>
        <color rgb="FF57BB8A"/>
        <color rgb="FFFFFFFF"/>
      </colorScale>
    </cfRule>
  </conditionalFormatting>
  <conditionalFormatting sqref="G79:N79">
    <cfRule type="colorScale" priority="41">
      <colorScale>
        <cfvo type="min"/>
        <cfvo type="max"/>
        <color rgb="FF57BB8A"/>
        <color rgb="FFFFFFFF"/>
      </colorScale>
    </cfRule>
  </conditionalFormatting>
  <conditionalFormatting sqref="H80:I80">
    <cfRule type="colorScale" priority="42">
      <colorScale>
        <cfvo type="min"/>
        <cfvo type="max"/>
        <color rgb="FF57BB8A"/>
        <color rgb="FFFFFFFF"/>
      </colorScale>
    </cfRule>
  </conditionalFormatting>
  <conditionalFormatting sqref="J81:K81">
    <cfRule type="colorScale" priority="43">
      <colorScale>
        <cfvo type="min"/>
        <cfvo type="max"/>
        <color rgb="FF57BB8A"/>
        <color rgb="FFFFFFFF"/>
      </colorScale>
    </cfRule>
  </conditionalFormatting>
  <conditionalFormatting sqref="L82:N82">
    <cfRule type="colorScale" priority="44">
      <colorScale>
        <cfvo type="min"/>
        <cfvo type="max"/>
        <color rgb="FF57BB8A"/>
        <color rgb="FFFFFFFF"/>
      </colorScale>
    </cfRule>
  </conditionalFormatting>
  <conditionalFormatting sqref="M83:N87">
    <cfRule type="colorScale" priority="45">
      <colorScale>
        <cfvo type="min"/>
        <cfvo type="max"/>
        <color rgb="FF57BB8A"/>
        <color rgb="FFFFFFFF"/>
      </colorScale>
    </cfRule>
  </conditionalFormatting>
  <conditionalFormatting sqref="G89:J89">
    <cfRule type="colorScale" priority="46">
      <colorScale>
        <cfvo type="min"/>
        <cfvo type="max"/>
        <color rgb="FF57BB8A"/>
        <color rgb="FFFFFFFF"/>
      </colorScale>
    </cfRule>
  </conditionalFormatting>
  <conditionalFormatting sqref="H98:K101">
    <cfRule type="colorScale" priority="47">
      <colorScale>
        <cfvo type="min"/>
        <cfvo type="max"/>
        <color rgb="FF57BB8A"/>
        <color rgb="FFFFFFFF"/>
      </colorScale>
    </cfRule>
  </conditionalFormatting>
  <conditionalFormatting sqref="K103:N103">
    <cfRule type="colorScale" priority="48">
      <colorScale>
        <cfvo type="min"/>
        <cfvo type="max"/>
        <color rgb="FF57BB8A"/>
        <color rgb="FFFFFFFF"/>
      </colorScale>
    </cfRule>
  </conditionalFormatting>
  <conditionalFormatting sqref="L108:N115">
    <cfRule type="colorScale" priority="49">
      <colorScale>
        <cfvo type="min"/>
        <cfvo type="max"/>
        <color rgb="FF57BB8A"/>
        <color rgb="FFFFFFFF"/>
      </colorScale>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15C30-3C00-43E4-B1B5-0295F60D1202}">
  <dimension ref="A1:AB972"/>
  <sheetViews>
    <sheetView topLeftCell="A46" workbookViewId="0">
      <selection activeCell="AB20" sqref="AB20"/>
    </sheetView>
  </sheetViews>
  <sheetFormatPr defaultColWidth="14.42578125" defaultRowHeight="12.75"/>
  <cols>
    <col min="1" max="1" width="58.42578125" style="721" customWidth="1"/>
    <col min="2" max="2" width="14.140625" style="721" hidden="1" customWidth="1"/>
    <col min="3" max="3" width="10.42578125" style="721" hidden="1" customWidth="1"/>
    <col min="4" max="4" width="15.42578125" style="721" hidden="1" customWidth="1"/>
    <col min="5" max="5" width="14.85546875" style="721" hidden="1" customWidth="1"/>
    <col min="6" max="6" width="12.140625" style="721" customWidth="1"/>
    <col min="7" max="7" width="9.42578125" style="721" hidden="1" customWidth="1"/>
    <col min="8" max="8" width="11.85546875" style="721" hidden="1" customWidth="1"/>
    <col min="9" max="9" width="14.42578125" style="721" hidden="1" customWidth="1"/>
    <col min="10" max="10" width="35.85546875" style="721" hidden="1" customWidth="1"/>
    <col min="11" max="11" width="24.7109375" style="908" hidden="1" customWidth="1"/>
    <col min="12" max="12" width="26.5703125" style="721" hidden="1" customWidth="1"/>
    <col min="13" max="13" width="12.140625" style="721" hidden="1" customWidth="1"/>
    <col min="14" max="15" width="8.85546875" style="721" hidden="1" customWidth="1"/>
    <col min="16" max="18" width="12.7109375" style="721" hidden="1" customWidth="1"/>
    <col min="19" max="19" width="11.85546875" style="721" hidden="1" customWidth="1"/>
    <col min="20" max="20" width="8.85546875" style="721" hidden="1" customWidth="1"/>
    <col min="21" max="21" width="9.85546875" style="721" customWidth="1"/>
    <col min="22" max="22" width="12.85546875" style="721" customWidth="1"/>
    <col min="23" max="23" width="12.7109375" style="721" customWidth="1"/>
    <col min="24" max="28" width="8.85546875" style="721" customWidth="1"/>
    <col min="29" max="256" width="14.42578125" style="721"/>
    <col min="257" max="257" width="58.42578125" style="721" customWidth="1"/>
    <col min="258" max="261" width="0" style="721" hidden="1" customWidth="1"/>
    <col min="262" max="262" width="12.140625" style="721" customWidth="1"/>
    <col min="263" max="276" width="0" style="721" hidden="1" customWidth="1"/>
    <col min="277" max="277" width="9.85546875" style="721" customWidth="1"/>
    <col min="278" max="278" width="12.85546875" style="721" customWidth="1"/>
    <col min="279" max="279" width="12.7109375" style="721" customWidth="1"/>
    <col min="280" max="284" width="8.85546875" style="721" customWidth="1"/>
    <col min="285" max="512" width="14.42578125" style="721"/>
    <col min="513" max="513" width="58.42578125" style="721" customWidth="1"/>
    <col min="514" max="517" width="0" style="721" hidden="1" customWidth="1"/>
    <col min="518" max="518" width="12.140625" style="721" customWidth="1"/>
    <col min="519" max="532" width="0" style="721" hidden="1" customWidth="1"/>
    <col min="533" max="533" width="9.85546875" style="721" customWidth="1"/>
    <col min="534" max="534" width="12.85546875" style="721" customWidth="1"/>
    <col min="535" max="535" width="12.7109375" style="721" customWidth="1"/>
    <col min="536" max="540" width="8.85546875" style="721" customWidth="1"/>
    <col min="541" max="768" width="14.42578125" style="721"/>
    <col min="769" max="769" width="58.42578125" style="721" customWidth="1"/>
    <col min="770" max="773" width="0" style="721" hidden="1" customWidth="1"/>
    <col min="774" max="774" width="12.140625" style="721" customWidth="1"/>
    <col min="775" max="788" width="0" style="721" hidden="1" customWidth="1"/>
    <col min="789" max="789" width="9.85546875" style="721" customWidth="1"/>
    <col min="790" max="790" width="12.85546875" style="721" customWidth="1"/>
    <col min="791" max="791" width="12.7109375" style="721" customWidth="1"/>
    <col min="792" max="796" width="8.85546875" style="721" customWidth="1"/>
    <col min="797" max="1024" width="14.42578125" style="721"/>
    <col min="1025" max="1025" width="58.42578125" style="721" customWidth="1"/>
    <col min="1026" max="1029" width="0" style="721" hidden="1" customWidth="1"/>
    <col min="1030" max="1030" width="12.140625" style="721" customWidth="1"/>
    <col min="1031" max="1044" width="0" style="721" hidden="1" customWidth="1"/>
    <col min="1045" max="1045" width="9.85546875" style="721" customWidth="1"/>
    <col min="1046" max="1046" width="12.85546875" style="721" customWidth="1"/>
    <col min="1047" max="1047" width="12.7109375" style="721" customWidth="1"/>
    <col min="1048" max="1052" width="8.85546875" style="721" customWidth="1"/>
    <col min="1053" max="1280" width="14.42578125" style="721"/>
    <col min="1281" max="1281" width="58.42578125" style="721" customWidth="1"/>
    <col min="1282" max="1285" width="0" style="721" hidden="1" customWidth="1"/>
    <col min="1286" max="1286" width="12.140625" style="721" customWidth="1"/>
    <col min="1287" max="1300" width="0" style="721" hidden="1" customWidth="1"/>
    <col min="1301" max="1301" width="9.85546875" style="721" customWidth="1"/>
    <col min="1302" max="1302" width="12.85546875" style="721" customWidth="1"/>
    <col min="1303" max="1303" width="12.7109375" style="721" customWidth="1"/>
    <col min="1304" max="1308" width="8.85546875" style="721" customWidth="1"/>
    <col min="1309" max="1536" width="14.42578125" style="721"/>
    <col min="1537" max="1537" width="58.42578125" style="721" customWidth="1"/>
    <col min="1538" max="1541" width="0" style="721" hidden="1" customWidth="1"/>
    <col min="1542" max="1542" width="12.140625" style="721" customWidth="1"/>
    <col min="1543" max="1556" width="0" style="721" hidden="1" customWidth="1"/>
    <col min="1557" max="1557" width="9.85546875" style="721" customWidth="1"/>
    <col min="1558" max="1558" width="12.85546875" style="721" customWidth="1"/>
    <col min="1559" max="1559" width="12.7109375" style="721" customWidth="1"/>
    <col min="1560" max="1564" width="8.85546875" style="721" customWidth="1"/>
    <col min="1565" max="1792" width="14.42578125" style="721"/>
    <col min="1793" max="1793" width="58.42578125" style="721" customWidth="1"/>
    <col min="1794" max="1797" width="0" style="721" hidden="1" customWidth="1"/>
    <col min="1798" max="1798" width="12.140625" style="721" customWidth="1"/>
    <col min="1799" max="1812" width="0" style="721" hidden="1" customWidth="1"/>
    <col min="1813" max="1813" width="9.85546875" style="721" customWidth="1"/>
    <col min="1814" max="1814" width="12.85546875" style="721" customWidth="1"/>
    <col min="1815" max="1815" width="12.7109375" style="721" customWidth="1"/>
    <col min="1816" max="1820" width="8.85546875" style="721" customWidth="1"/>
    <col min="1821" max="2048" width="14.42578125" style="721"/>
    <col min="2049" max="2049" width="58.42578125" style="721" customWidth="1"/>
    <col min="2050" max="2053" width="0" style="721" hidden="1" customWidth="1"/>
    <col min="2054" max="2054" width="12.140625" style="721" customWidth="1"/>
    <col min="2055" max="2068" width="0" style="721" hidden="1" customWidth="1"/>
    <col min="2069" max="2069" width="9.85546875" style="721" customWidth="1"/>
    <col min="2070" max="2070" width="12.85546875" style="721" customWidth="1"/>
    <col min="2071" max="2071" width="12.7109375" style="721" customWidth="1"/>
    <col min="2072" max="2076" width="8.85546875" style="721" customWidth="1"/>
    <col min="2077" max="2304" width="14.42578125" style="721"/>
    <col min="2305" max="2305" width="58.42578125" style="721" customWidth="1"/>
    <col min="2306" max="2309" width="0" style="721" hidden="1" customWidth="1"/>
    <col min="2310" max="2310" width="12.140625" style="721" customWidth="1"/>
    <col min="2311" max="2324" width="0" style="721" hidden="1" customWidth="1"/>
    <col min="2325" max="2325" width="9.85546875" style="721" customWidth="1"/>
    <col min="2326" max="2326" width="12.85546875" style="721" customWidth="1"/>
    <col min="2327" max="2327" width="12.7109375" style="721" customWidth="1"/>
    <col min="2328" max="2332" width="8.85546875" style="721" customWidth="1"/>
    <col min="2333" max="2560" width="14.42578125" style="721"/>
    <col min="2561" max="2561" width="58.42578125" style="721" customWidth="1"/>
    <col min="2562" max="2565" width="0" style="721" hidden="1" customWidth="1"/>
    <col min="2566" max="2566" width="12.140625" style="721" customWidth="1"/>
    <col min="2567" max="2580" width="0" style="721" hidden="1" customWidth="1"/>
    <col min="2581" max="2581" width="9.85546875" style="721" customWidth="1"/>
    <col min="2582" max="2582" width="12.85546875" style="721" customWidth="1"/>
    <col min="2583" max="2583" width="12.7109375" style="721" customWidth="1"/>
    <col min="2584" max="2588" width="8.85546875" style="721" customWidth="1"/>
    <col min="2589" max="2816" width="14.42578125" style="721"/>
    <col min="2817" max="2817" width="58.42578125" style="721" customWidth="1"/>
    <col min="2818" max="2821" width="0" style="721" hidden="1" customWidth="1"/>
    <col min="2822" max="2822" width="12.140625" style="721" customWidth="1"/>
    <col min="2823" max="2836" width="0" style="721" hidden="1" customWidth="1"/>
    <col min="2837" max="2837" width="9.85546875" style="721" customWidth="1"/>
    <col min="2838" max="2838" width="12.85546875" style="721" customWidth="1"/>
    <col min="2839" max="2839" width="12.7109375" style="721" customWidth="1"/>
    <col min="2840" max="2844" width="8.85546875" style="721" customWidth="1"/>
    <col min="2845" max="3072" width="14.42578125" style="721"/>
    <col min="3073" max="3073" width="58.42578125" style="721" customWidth="1"/>
    <col min="3074" max="3077" width="0" style="721" hidden="1" customWidth="1"/>
    <col min="3078" max="3078" width="12.140625" style="721" customWidth="1"/>
    <col min="3079" max="3092" width="0" style="721" hidden="1" customWidth="1"/>
    <col min="3093" max="3093" width="9.85546875" style="721" customWidth="1"/>
    <col min="3094" max="3094" width="12.85546875" style="721" customWidth="1"/>
    <col min="3095" max="3095" width="12.7109375" style="721" customWidth="1"/>
    <col min="3096" max="3100" width="8.85546875" style="721" customWidth="1"/>
    <col min="3101" max="3328" width="14.42578125" style="721"/>
    <col min="3329" max="3329" width="58.42578125" style="721" customWidth="1"/>
    <col min="3330" max="3333" width="0" style="721" hidden="1" customWidth="1"/>
    <col min="3334" max="3334" width="12.140625" style="721" customWidth="1"/>
    <col min="3335" max="3348" width="0" style="721" hidden="1" customWidth="1"/>
    <col min="3349" max="3349" width="9.85546875" style="721" customWidth="1"/>
    <col min="3350" max="3350" width="12.85546875" style="721" customWidth="1"/>
    <col min="3351" max="3351" width="12.7109375" style="721" customWidth="1"/>
    <col min="3352" max="3356" width="8.85546875" style="721" customWidth="1"/>
    <col min="3357" max="3584" width="14.42578125" style="721"/>
    <col min="3585" max="3585" width="58.42578125" style="721" customWidth="1"/>
    <col min="3586" max="3589" width="0" style="721" hidden="1" customWidth="1"/>
    <col min="3590" max="3590" width="12.140625" style="721" customWidth="1"/>
    <col min="3591" max="3604" width="0" style="721" hidden="1" customWidth="1"/>
    <col min="3605" max="3605" width="9.85546875" style="721" customWidth="1"/>
    <col min="3606" max="3606" width="12.85546875" style="721" customWidth="1"/>
    <col min="3607" max="3607" width="12.7109375" style="721" customWidth="1"/>
    <col min="3608" max="3612" width="8.85546875" style="721" customWidth="1"/>
    <col min="3613" max="3840" width="14.42578125" style="721"/>
    <col min="3841" max="3841" width="58.42578125" style="721" customWidth="1"/>
    <col min="3842" max="3845" width="0" style="721" hidden="1" customWidth="1"/>
    <col min="3846" max="3846" width="12.140625" style="721" customWidth="1"/>
    <col min="3847" max="3860" width="0" style="721" hidden="1" customWidth="1"/>
    <col min="3861" max="3861" width="9.85546875" style="721" customWidth="1"/>
    <col min="3862" max="3862" width="12.85546875" style="721" customWidth="1"/>
    <col min="3863" max="3863" width="12.7109375" style="721" customWidth="1"/>
    <col min="3864" max="3868" width="8.85546875" style="721" customWidth="1"/>
    <col min="3869" max="4096" width="14.42578125" style="721"/>
    <col min="4097" max="4097" width="58.42578125" style="721" customWidth="1"/>
    <col min="4098" max="4101" width="0" style="721" hidden="1" customWidth="1"/>
    <col min="4102" max="4102" width="12.140625" style="721" customWidth="1"/>
    <col min="4103" max="4116" width="0" style="721" hidden="1" customWidth="1"/>
    <col min="4117" max="4117" width="9.85546875" style="721" customWidth="1"/>
    <col min="4118" max="4118" width="12.85546875" style="721" customWidth="1"/>
    <col min="4119" max="4119" width="12.7109375" style="721" customWidth="1"/>
    <col min="4120" max="4124" width="8.85546875" style="721" customWidth="1"/>
    <col min="4125" max="4352" width="14.42578125" style="721"/>
    <col min="4353" max="4353" width="58.42578125" style="721" customWidth="1"/>
    <col min="4354" max="4357" width="0" style="721" hidden="1" customWidth="1"/>
    <col min="4358" max="4358" width="12.140625" style="721" customWidth="1"/>
    <col min="4359" max="4372" width="0" style="721" hidden="1" customWidth="1"/>
    <col min="4373" max="4373" width="9.85546875" style="721" customWidth="1"/>
    <col min="4374" max="4374" width="12.85546875" style="721" customWidth="1"/>
    <col min="4375" max="4375" width="12.7109375" style="721" customWidth="1"/>
    <col min="4376" max="4380" width="8.85546875" style="721" customWidth="1"/>
    <col min="4381" max="4608" width="14.42578125" style="721"/>
    <col min="4609" max="4609" width="58.42578125" style="721" customWidth="1"/>
    <col min="4610" max="4613" width="0" style="721" hidden="1" customWidth="1"/>
    <col min="4614" max="4614" width="12.140625" style="721" customWidth="1"/>
    <col min="4615" max="4628" width="0" style="721" hidden="1" customWidth="1"/>
    <col min="4629" max="4629" width="9.85546875" style="721" customWidth="1"/>
    <col min="4630" max="4630" width="12.85546875" style="721" customWidth="1"/>
    <col min="4631" max="4631" width="12.7109375" style="721" customWidth="1"/>
    <col min="4632" max="4636" width="8.85546875" style="721" customWidth="1"/>
    <col min="4637" max="4864" width="14.42578125" style="721"/>
    <col min="4865" max="4865" width="58.42578125" style="721" customWidth="1"/>
    <col min="4866" max="4869" width="0" style="721" hidden="1" customWidth="1"/>
    <col min="4870" max="4870" width="12.140625" style="721" customWidth="1"/>
    <col min="4871" max="4884" width="0" style="721" hidden="1" customWidth="1"/>
    <col min="4885" max="4885" width="9.85546875" style="721" customWidth="1"/>
    <col min="4886" max="4886" width="12.85546875" style="721" customWidth="1"/>
    <col min="4887" max="4887" width="12.7109375" style="721" customWidth="1"/>
    <col min="4888" max="4892" width="8.85546875" style="721" customWidth="1"/>
    <col min="4893" max="5120" width="14.42578125" style="721"/>
    <col min="5121" max="5121" width="58.42578125" style="721" customWidth="1"/>
    <col min="5122" max="5125" width="0" style="721" hidden="1" customWidth="1"/>
    <col min="5126" max="5126" width="12.140625" style="721" customWidth="1"/>
    <col min="5127" max="5140" width="0" style="721" hidden="1" customWidth="1"/>
    <col min="5141" max="5141" width="9.85546875" style="721" customWidth="1"/>
    <col min="5142" max="5142" width="12.85546875" style="721" customWidth="1"/>
    <col min="5143" max="5143" width="12.7109375" style="721" customWidth="1"/>
    <col min="5144" max="5148" width="8.85546875" style="721" customWidth="1"/>
    <col min="5149" max="5376" width="14.42578125" style="721"/>
    <col min="5377" max="5377" width="58.42578125" style="721" customWidth="1"/>
    <col min="5378" max="5381" width="0" style="721" hidden="1" customWidth="1"/>
    <col min="5382" max="5382" width="12.140625" style="721" customWidth="1"/>
    <col min="5383" max="5396" width="0" style="721" hidden="1" customWidth="1"/>
    <col min="5397" max="5397" width="9.85546875" style="721" customWidth="1"/>
    <col min="5398" max="5398" width="12.85546875" style="721" customWidth="1"/>
    <col min="5399" max="5399" width="12.7109375" style="721" customWidth="1"/>
    <col min="5400" max="5404" width="8.85546875" style="721" customWidth="1"/>
    <col min="5405" max="5632" width="14.42578125" style="721"/>
    <col min="5633" max="5633" width="58.42578125" style="721" customWidth="1"/>
    <col min="5634" max="5637" width="0" style="721" hidden="1" customWidth="1"/>
    <col min="5638" max="5638" width="12.140625" style="721" customWidth="1"/>
    <col min="5639" max="5652" width="0" style="721" hidden="1" customWidth="1"/>
    <col min="5653" max="5653" width="9.85546875" style="721" customWidth="1"/>
    <col min="5654" max="5654" width="12.85546875" style="721" customWidth="1"/>
    <col min="5655" max="5655" width="12.7109375" style="721" customWidth="1"/>
    <col min="5656" max="5660" width="8.85546875" style="721" customWidth="1"/>
    <col min="5661" max="5888" width="14.42578125" style="721"/>
    <col min="5889" max="5889" width="58.42578125" style="721" customWidth="1"/>
    <col min="5890" max="5893" width="0" style="721" hidden="1" customWidth="1"/>
    <col min="5894" max="5894" width="12.140625" style="721" customWidth="1"/>
    <col min="5895" max="5908" width="0" style="721" hidden="1" customWidth="1"/>
    <col min="5909" max="5909" width="9.85546875" style="721" customWidth="1"/>
    <col min="5910" max="5910" width="12.85546875" style="721" customWidth="1"/>
    <col min="5911" max="5911" width="12.7109375" style="721" customWidth="1"/>
    <col min="5912" max="5916" width="8.85546875" style="721" customWidth="1"/>
    <col min="5917" max="6144" width="14.42578125" style="721"/>
    <col min="6145" max="6145" width="58.42578125" style="721" customWidth="1"/>
    <col min="6146" max="6149" width="0" style="721" hidden="1" customWidth="1"/>
    <col min="6150" max="6150" width="12.140625" style="721" customWidth="1"/>
    <col min="6151" max="6164" width="0" style="721" hidden="1" customWidth="1"/>
    <col min="6165" max="6165" width="9.85546875" style="721" customWidth="1"/>
    <col min="6166" max="6166" width="12.85546875" style="721" customWidth="1"/>
    <col min="6167" max="6167" width="12.7109375" style="721" customWidth="1"/>
    <col min="6168" max="6172" width="8.85546875" style="721" customWidth="1"/>
    <col min="6173" max="6400" width="14.42578125" style="721"/>
    <col min="6401" max="6401" width="58.42578125" style="721" customWidth="1"/>
    <col min="6402" max="6405" width="0" style="721" hidden="1" customWidth="1"/>
    <col min="6406" max="6406" width="12.140625" style="721" customWidth="1"/>
    <col min="6407" max="6420" width="0" style="721" hidden="1" customWidth="1"/>
    <col min="6421" max="6421" width="9.85546875" style="721" customWidth="1"/>
    <col min="6422" max="6422" width="12.85546875" style="721" customWidth="1"/>
    <col min="6423" max="6423" width="12.7109375" style="721" customWidth="1"/>
    <col min="6424" max="6428" width="8.85546875" style="721" customWidth="1"/>
    <col min="6429" max="6656" width="14.42578125" style="721"/>
    <col min="6657" max="6657" width="58.42578125" style="721" customWidth="1"/>
    <col min="6658" max="6661" width="0" style="721" hidden="1" customWidth="1"/>
    <col min="6662" max="6662" width="12.140625" style="721" customWidth="1"/>
    <col min="6663" max="6676" width="0" style="721" hidden="1" customWidth="1"/>
    <col min="6677" max="6677" width="9.85546875" style="721" customWidth="1"/>
    <col min="6678" max="6678" width="12.85546875" style="721" customWidth="1"/>
    <col min="6679" max="6679" width="12.7109375" style="721" customWidth="1"/>
    <col min="6680" max="6684" width="8.85546875" style="721" customWidth="1"/>
    <col min="6685" max="6912" width="14.42578125" style="721"/>
    <col min="6913" max="6913" width="58.42578125" style="721" customWidth="1"/>
    <col min="6914" max="6917" width="0" style="721" hidden="1" customWidth="1"/>
    <col min="6918" max="6918" width="12.140625" style="721" customWidth="1"/>
    <col min="6919" max="6932" width="0" style="721" hidden="1" customWidth="1"/>
    <col min="6933" max="6933" width="9.85546875" style="721" customWidth="1"/>
    <col min="6934" max="6934" width="12.85546875" style="721" customWidth="1"/>
    <col min="6935" max="6935" width="12.7109375" style="721" customWidth="1"/>
    <col min="6936" max="6940" width="8.85546875" style="721" customWidth="1"/>
    <col min="6941" max="7168" width="14.42578125" style="721"/>
    <col min="7169" max="7169" width="58.42578125" style="721" customWidth="1"/>
    <col min="7170" max="7173" width="0" style="721" hidden="1" customWidth="1"/>
    <col min="7174" max="7174" width="12.140625" style="721" customWidth="1"/>
    <col min="7175" max="7188" width="0" style="721" hidden="1" customWidth="1"/>
    <col min="7189" max="7189" width="9.85546875" style="721" customWidth="1"/>
    <col min="7190" max="7190" width="12.85546875" style="721" customWidth="1"/>
    <col min="7191" max="7191" width="12.7109375" style="721" customWidth="1"/>
    <col min="7192" max="7196" width="8.85546875" style="721" customWidth="1"/>
    <col min="7197" max="7424" width="14.42578125" style="721"/>
    <col min="7425" max="7425" width="58.42578125" style="721" customWidth="1"/>
    <col min="7426" max="7429" width="0" style="721" hidden="1" customWidth="1"/>
    <col min="7430" max="7430" width="12.140625" style="721" customWidth="1"/>
    <col min="7431" max="7444" width="0" style="721" hidden="1" customWidth="1"/>
    <col min="7445" max="7445" width="9.85546875" style="721" customWidth="1"/>
    <col min="7446" max="7446" width="12.85546875" style="721" customWidth="1"/>
    <col min="7447" max="7447" width="12.7109375" style="721" customWidth="1"/>
    <col min="7448" max="7452" width="8.85546875" style="721" customWidth="1"/>
    <col min="7453" max="7680" width="14.42578125" style="721"/>
    <col min="7681" max="7681" width="58.42578125" style="721" customWidth="1"/>
    <col min="7682" max="7685" width="0" style="721" hidden="1" customWidth="1"/>
    <col min="7686" max="7686" width="12.140625" style="721" customWidth="1"/>
    <col min="7687" max="7700" width="0" style="721" hidden="1" customWidth="1"/>
    <col min="7701" max="7701" width="9.85546875" style="721" customWidth="1"/>
    <col min="7702" max="7702" width="12.85546875" style="721" customWidth="1"/>
    <col min="7703" max="7703" width="12.7109375" style="721" customWidth="1"/>
    <col min="7704" max="7708" width="8.85546875" style="721" customWidth="1"/>
    <col min="7709" max="7936" width="14.42578125" style="721"/>
    <col min="7937" max="7937" width="58.42578125" style="721" customWidth="1"/>
    <col min="7938" max="7941" width="0" style="721" hidden="1" customWidth="1"/>
    <col min="7942" max="7942" width="12.140625" style="721" customWidth="1"/>
    <col min="7943" max="7956" width="0" style="721" hidden="1" customWidth="1"/>
    <col min="7957" max="7957" width="9.85546875" style="721" customWidth="1"/>
    <col min="7958" max="7958" width="12.85546875" style="721" customWidth="1"/>
    <col min="7959" max="7959" width="12.7109375" style="721" customWidth="1"/>
    <col min="7960" max="7964" width="8.85546875" style="721" customWidth="1"/>
    <col min="7965" max="8192" width="14.42578125" style="721"/>
    <col min="8193" max="8193" width="58.42578125" style="721" customWidth="1"/>
    <col min="8194" max="8197" width="0" style="721" hidden="1" customWidth="1"/>
    <col min="8198" max="8198" width="12.140625" style="721" customWidth="1"/>
    <col min="8199" max="8212" width="0" style="721" hidden="1" customWidth="1"/>
    <col min="8213" max="8213" width="9.85546875" style="721" customWidth="1"/>
    <col min="8214" max="8214" width="12.85546875" style="721" customWidth="1"/>
    <col min="8215" max="8215" width="12.7109375" style="721" customWidth="1"/>
    <col min="8216" max="8220" width="8.85546875" style="721" customWidth="1"/>
    <col min="8221" max="8448" width="14.42578125" style="721"/>
    <col min="8449" max="8449" width="58.42578125" style="721" customWidth="1"/>
    <col min="8450" max="8453" width="0" style="721" hidden="1" customWidth="1"/>
    <col min="8454" max="8454" width="12.140625" style="721" customWidth="1"/>
    <col min="8455" max="8468" width="0" style="721" hidden="1" customWidth="1"/>
    <col min="8469" max="8469" width="9.85546875" style="721" customWidth="1"/>
    <col min="8470" max="8470" width="12.85546875" style="721" customWidth="1"/>
    <col min="8471" max="8471" width="12.7109375" style="721" customWidth="1"/>
    <col min="8472" max="8476" width="8.85546875" style="721" customWidth="1"/>
    <col min="8477" max="8704" width="14.42578125" style="721"/>
    <col min="8705" max="8705" width="58.42578125" style="721" customWidth="1"/>
    <col min="8706" max="8709" width="0" style="721" hidden="1" customWidth="1"/>
    <col min="8710" max="8710" width="12.140625" style="721" customWidth="1"/>
    <col min="8711" max="8724" width="0" style="721" hidden="1" customWidth="1"/>
    <col min="8725" max="8725" width="9.85546875" style="721" customWidth="1"/>
    <col min="8726" max="8726" width="12.85546875" style="721" customWidth="1"/>
    <col min="8727" max="8727" width="12.7109375" style="721" customWidth="1"/>
    <col min="8728" max="8732" width="8.85546875" style="721" customWidth="1"/>
    <col min="8733" max="8960" width="14.42578125" style="721"/>
    <col min="8961" max="8961" width="58.42578125" style="721" customWidth="1"/>
    <col min="8962" max="8965" width="0" style="721" hidden="1" customWidth="1"/>
    <col min="8966" max="8966" width="12.140625" style="721" customWidth="1"/>
    <col min="8967" max="8980" width="0" style="721" hidden="1" customWidth="1"/>
    <col min="8981" max="8981" width="9.85546875" style="721" customWidth="1"/>
    <col min="8982" max="8982" width="12.85546875" style="721" customWidth="1"/>
    <col min="8983" max="8983" width="12.7109375" style="721" customWidth="1"/>
    <col min="8984" max="8988" width="8.85546875" style="721" customWidth="1"/>
    <col min="8989" max="9216" width="14.42578125" style="721"/>
    <col min="9217" max="9217" width="58.42578125" style="721" customWidth="1"/>
    <col min="9218" max="9221" width="0" style="721" hidden="1" customWidth="1"/>
    <col min="9222" max="9222" width="12.140625" style="721" customWidth="1"/>
    <col min="9223" max="9236" width="0" style="721" hidden="1" customWidth="1"/>
    <col min="9237" max="9237" width="9.85546875" style="721" customWidth="1"/>
    <col min="9238" max="9238" width="12.85546875" style="721" customWidth="1"/>
    <col min="9239" max="9239" width="12.7109375" style="721" customWidth="1"/>
    <col min="9240" max="9244" width="8.85546875" style="721" customWidth="1"/>
    <col min="9245" max="9472" width="14.42578125" style="721"/>
    <col min="9473" max="9473" width="58.42578125" style="721" customWidth="1"/>
    <col min="9474" max="9477" width="0" style="721" hidden="1" customWidth="1"/>
    <col min="9478" max="9478" width="12.140625" style="721" customWidth="1"/>
    <col min="9479" max="9492" width="0" style="721" hidden="1" customWidth="1"/>
    <col min="9493" max="9493" width="9.85546875" style="721" customWidth="1"/>
    <col min="9494" max="9494" width="12.85546875" style="721" customWidth="1"/>
    <col min="9495" max="9495" width="12.7109375" style="721" customWidth="1"/>
    <col min="9496" max="9500" width="8.85546875" style="721" customWidth="1"/>
    <col min="9501" max="9728" width="14.42578125" style="721"/>
    <col min="9729" max="9729" width="58.42578125" style="721" customWidth="1"/>
    <col min="9730" max="9733" width="0" style="721" hidden="1" customWidth="1"/>
    <col min="9734" max="9734" width="12.140625" style="721" customWidth="1"/>
    <col min="9735" max="9748" width="0" style="721" hidden="1" customWidth="1"/>
    <col min="9749" max="9749" width="9.85546875" style="721" customWidth="1"/>
    <col min="9750" max="9750" width="12.85546875" style="721" customWidth="1"/>
    <col min="9751" max="9751" width="12.7109375" style="721" customWidth="1"/>
    <col min="9752" max="9756" width="8.85546875" style="721" customWidth="1"/>
    <col min="9757" max="9984" width="14.42578125" style="721"/>
    <col min="9985" max="9985" width="58.42578125" style="721" customWidth="1"/>
    <col min="9986" max="9989" width="0" style="721" hidden="1" customWidth="1"/>
    <col min="9990" max="9990" width="12.140625" style="721" customWidth="1"/>
    <col min="9991" max="10004" width="0" style="721" hidden="1" customWidth="1"/>
    <col min="10005" max="10005" width="9.85546875" style="721" customWidth="1"/>
    <col min="10006" max="10006" width="12.85546875" style="721" customWidth="1"/>
    <col min="10007" max="10007" width="12.7109375" style="721" customWidth="1"/>
    <col min="10008" max="10012" width="8.85546875" style="721" customWidth="1"/>
    <col min="10013" max="10240" width="14.42578125" style="721"/>
    <col min="10241" max="10241" width="58.42578125" style="721" customWidth="1"/>
    <col min="10242" max="10245" width="0" style="721" hidden="1" customWidth="1"/>
    <col min="10246" max="10246" width="12.140625" style="721" customWidth="1"/>
    <col min="10247" max="10260" width="0" style="721" hidden="1" customWidth="1"/>
    <col min="10261" max="10261" width="9.85546875" style="721" customWidth="1"/>
    <col min="10262" max="10262" width="12.85546875" style="721" customWidth="1"/>
    <col min="10263" max="10263" width="12.7109375" style="721" customWidth="1"/>
    <col min="10264" max="10268" width="8.85546875" style="721" customWidth="1"/>
    <col min="10269" max="10496" width="14.42578125" style="721"/>
    <col min="10497" max="10497" width="58.42578125" style="721" customWidth="1"/>
    <col min="10498" max="10501" width="0" style="721" hidden="1" customWidth="1"/>
    <col min="10502" max="10502" width="12.140625" style="721" customWidth="1"/>
    <col min="10503" max="10516" width="0" style="721" hidden="1" customWidth="1"/>
    <col min="10517" max="10517" width="9.85546875" style="721" customWidth="1"/>
    <col min="10518" max="10518" width="12.85546875" style="721" customWidth="1"/>
    <col min="10519" max="10519" width="12.7109375" style="721" customWidth="1"/>
    <col min="10520" max="10524" width="8.85546875" style="721" customWidth="1"/>
    <col min="10525" max="10752" width="14.42578125" style="721"/>
    <col min="10753" max="10753" width="58.42578125" style="721" customWidth="1"/>
    <col min="10754" max="10757" width="0" style="721" hidden="1" customWidth="1"/>
    <col min="10758" max="10758" width="12.140625" style="721" customWidth="1"/>
    <col min="10759" max="10772" width="0" style="721" hidden="1" customWidth="1"/>
    <col min="10773" max="10773" width="9.85546875" style="721" customWidth="1"/>
    <col min="10774" max="10774" width="12.85546875" style="721" customWidth="1"/>
    <col min="10775" max="10775" width="12.7109375" style="721" customWidth="1"/>
    <col min="10776" max="10780" width="8.85546875" style="721" customWidth="1"/>
    <col min="10781" max="11008" width="14.42578125" style="721"/>
    <col min="11009" max="11009" width="58.42578125" style="721" customWidth="1"/>
    <col min="11010" max="11013" width="0" style="721" hidden="1" customWidth="1"/>
    <col min="11014" max="11014" width="12.140625" style="721" customWidth="1"/>
    <col min="11015" max="11028" width="0" style="721" hidden="1" customWidth="1"/>
    <col min="11029" max="11029" width="9.85546875" style="721" customWidth="1"/>
    <col min="11030" max="11030" width="12.85546875" style="721" customWidth="1"/>
    <col min="11031" max="11031" width="12.7109375" style="721" customWidth="1"/>
    <col min="11032" max="11036" width="8.85546875" style="721" customWidth="1"/>
    <col min="11037" max="11264" width="14.42578125" style="721"/>
    <col min="11265" max="11265" width="58.42578125" style="721" customWidth="1"/>
    <col min="11266" max="11269" width="0" style="721" hidden="1" customWidth="1"/>
    <col min="11270" max="11270" width="12.140625" style="721" customWidth="1"/>
    <col min="11271" max="11284" width="0" style="721" hidden="1" customWidth="1"/>
    <col min="11285" max="11285" width="9.85546875" style="721" customWidth="1"/>
    <col min="11286" max="11286" width="12.85546875" style="721" customWidth="1"/>
    <col min="11287" max="11287" width="12.7109375" style="721" customWidth="1"/>
    <col min="11288" max="11292" width="8.85546875" style="721" customWidth="1"/>
    <col min="11293" max="11520" width="14.42578125" style="721"/>
    <col min="11521" max="11521" width="58.42578125" style="721" customWidth="1"/>
    <col min="11522" max="11525" width="0" style="721" hidden="1" customWidth="1"/>
    <col min="11526" max="11526" width="12.140625" style="721" customWidth="1"/>
    <col min="11527" max="11540" width="0" style="721" hidden="1" customWidth="1"/>
    <col min="11541" max="11541" width="9.85546875" style="721" customWidth="1"/>
    <col min="11542" max="11542" width="12.85546875" style="721" customWidth="1"/>
    <col min="11543" max="11543" width="12.7109375" style="721" customWidth="1"/>
    <col min="11544" max="11548" width="8.85546875" style="721" customWidth="1"/>
    <col min="11549" max="11776" width="14.42578125" style="721"/>
    <col min="11777" max="11777" width="58.42578125" style="721" customWidth="1"/>
    <col min="11778" max="11781" width="0" style="721" hidden="1" customWidth="1"/>
    <col min="11782" max="11782" width="12.140625" style="721" customWidth="1"/>
    <col min="11783" max="11796" width="0" style="721" hidden="1" customWidth="1"/>
    <col min="11797" max="11797" width="9.85546875" style="721" customWidth="1"/>
    <col min="11798" max="11798" width="12.85546875" style="721" customWidth="1"/>
    <col min="11799" max="11799" width="12.7109375" style="721" customWidth="1"/>
    <col min="11800" max="11804" width="8.85546875" style="721" customWidth="1"/>
    <col min="11805" max="12032" width="14.42578125" style="721"/>
    <col min="12033" max="12033" width="58.42578125" style="721" customWidth="1"/>
    <col min="12034" max="12037" width="0" style="721" hidden="1" customWidth="1"/>
    <col min="12038" max="12038" width="12.140625" style="721" customWidth="1"/>
    <col min="12039" max="12052" width="0" style="721" hidden="1" customWidth="1"/>
    <col min="12053" max="12053" width="9.85546875" style="721" customWidth="1"/>
    <col min="12054" max="12054" width="12.85546875" style="721" customWidth="1"/>
    <col min="12055" max="12055" width="12.7109375" style="721" customWidth="1"/>
    <col min="12056" max="12060" width="8.85546875" style="721" customWidth="1"/>
    <col min="12061" max="12288" width="14.42578125" style="721"/>
    <col min="12289" max="12289" width="58.42578125" style="721" customWidth="1"/>
    <col min="12290" max="12293" width="0" style="721" hidden="1" customWidth="1"/>
    <col min="12294" max="12294" width="12.140625" style="721" customWidth="1"/>
    <col min="12295" max="12308" width="0" style="721" hidden="1" customWidth="1"/>
    <col min="12309" max="12309" width="9.85546875" style="721" customWidth="1"/>
    <col min="12310" max="12310" width="12.85546875" style="721" customWidth="1"/>
    <col min="12311" max="12311" width="12.7109375" style="721" customWidth="1"/>
    <col min="12312" max="12316" width="8.85546875" style="721" customWidth="1"/>
    <col min="12317" max="12544" width="14.42578125" style="721"/>
    <col min="12545" max="12545" width="58.42578125" style="721" customWidth="1"/>
    <col min="12546" max="12549" width="0" style="721" hidden="1" customWidth="1"/>
    <col min="12550" max="12550" width="12.140625" style="721" customWidth="1"/>
    <col min="12551" max="12564" width="0" style="721" hidden="1" customWidth="1"/>
    <col min="12565" max="12565" width="9.85546875" style="721" customWidth="1"/>
    <col min="12566" max="12566" width="12.85546875" style="721" customWidth="1"/>
    <col min="12567" max="12567" width="12.7109375" style="721" customWidth="1"/>
    <col min="12568" max="12572" width="8.85546875" style="721" customWidth="1"/>
    <col min="12573" max="12800" width="14.42578125" style="721"/>
    <col min="12801" max="12801" width="58.42578125" style="721" customWidth="1"/>
    <col min="12802" max="12805" width="0" style="721" hidden="1" customWidth="1"/>
    <col min="12806" max="12806" width="12.140625" style="721" customWidth="1"/>
    <col min="12807" max="12820" width="0" style="721" hidden="1" customWidth="1"/>
    <col min="12821" max="12821" width="9.85546875" style="721" customWidth="1"/>
    <col min="12822" max="12822" width="12.85546875" style="721" customWidth="1"/>
    <col min="12823" max="12823" width="12.7109375" style="721" customWidth="1"/>
    <col min="12824" max="12828" width="8.85546875" style="721" customWidth="1"/>
    <col min="12829" max="13056" width="14.42578125" style="721"/>
    <col min="13057" max="13057" width="58.42578125" style="721" customWidth="1"/>
    <col min="13058" max="13061" width="0" style="721" hidden="1" customWidth="1"/>
    <col min="13062" max="13062" width="12.140625" style="721" customWidth="1"/>
    <col min="13063" max="13076" width="0" style="721" hidden="1" customWidth="1"/>
    <col min="13077" max="13077" width="9.85546875" style="721" customWidth="1"/>
    <col min="13078" max="13078" width="12.85546875" style="721" customWidth="1"/>
    <col min="13079" max="13079" width="12.7109375" style="721" customWidth="1"/>
    <col min="13080" max="13084" width="8.85546875" style="721" customWidth="1"/>
    <col min="13085" max="13312" width="14.42578125" style="721"/>
    <col min="13313" max="13313" width="58.42578125" style="721" customWidth="1"/>
    <col min="13314" max="13317" width="0" style="721" hidden="1" customWidth="1"/>
    <col min="13318" max="13318" width="12.140625" style="721" customWidth="1"/>
    <col min="13319" max="13332" width="0" style="721" hidden="1" customWidth="1"/>
    <col min="13333" max="13333" width="9.85546875" style="721" customWidth="1"/>
    <col min="13334" max="13334" width="12.85546875" style="721" customWidth="1"/>
    <col min="13335" max="13335" width="12.7109375" style="721" customWidth="1"/>
    <col min="13336" max="13340" width="8.85546875" style="721" customWidth="1"/>
    <col min="13341" max="13568" width="14.42578125" style="721"/>
    <col min="13569" max="13569" width="58.42578125" style="721" customWidth="1"/>
    <col min="13570" max="13573" width="0" style="721" hidden="1" customWidth="1"/>
    <col min="13574" max="13574" width="12.140625" style="721" customWidth="1"/>
    <col min="13575" max="13588" width="0" style="721" hidden="1" customWidth="1"/>
    <col min="13589" max="13589" width="9.85546875" style="721" customWidth="1"/>
    <col min="13590" max="13590" width="12.85546875" style="721" customWidth="1"/>
    <col min="13591" max="13591" width="12.7109375" style="721" customWidth="1"/>
    <col min="13592" max="13596" width="8.85546875" style="721" customWidth="1"/>
    <col min="13597" max="13824" width="14.42578125" style="721"/>
    <col min="13825" max="13825" width="58.42578125" style="721" customWidth="1"/>
    <col min="13826" max="13829" width="0" style="721" hidden="1" customWidth="1"/>
    <col min="13830" max="13830" width="12.140625" style="721" customWidth="1"/>
    <col min="13831" max="13844" width="0" style="721" hidden="1" customWidth="1"/>
    <col min="13845" max="13845" width="9.85546875" style="721" customWidth="1"/>
    <col min="13846" max="13846" width="12.85546875" style="721" customWidth="1"/>
    <col min="13847" max="13847" width="12.7109375" style="721" customWidth="1"/>
    <col min="13848" max="13852" width="8.85546875" style="721" customWidth="1"/>
    <col min="13853" max="14080" width="14.42578125" style="721"/>
    <col min="14081" max="14081" width="58.42578125" style="721" customWidth="1"/>
    <col min="14082" max="14085" width="0" style="721" hidden="1" customWidth="1"/>
    <col min="14086" max="14086" width="12.140625" style="721" customWidth="1"/>
    <col min="14087" max="14100" width="0" style="721" hidden="1" customWidth="1"/>
    <col min="14101" max="14101" width="9.85546875" style="721" customWidth="1"/>
    <col min="14102" max="14102" width="12.85546875" style="721" customWidth="1"/>
    <col min="14103" max="14103" width="12.7109375" style="721" customWidth="1"/>
    <col min="14104" max="14108" width="8.85546875" style="721" customWidth="1"/>
    <col min="14109" max="14336" width="14.42578125" style="721"/>
    <col min="14337" max="14337" width="58.42578125" style="721" customWidth="1"/>
    <col min="14338" max="14341" width="0" style="721" hidden="1" customWidth="1"/>
    <col min="14342" max="14342" width="12.140625" style="721" customWidth="1"/>
    <col min="14343" max="14356" width="0" style="721" hidden="1" customWidth="1"/>
    <col min="14357" max="14357" width="9.85546875" style="721" customWidth="1"/>
    <col min="14358" max="14358" width="12.85546875" style="721" customWidth="1"/>
    <col min="14359" max="14359" width="12.7109375" style="721" customWidth="1"/>
    <col min="14360" max="14364" width="8.85546875" style="721" customWidth="1"/>
    <col min="14365" max="14592" width="14.42578125" style="721"/>
    <col min="14593" max="14593" width="58.42578125" style="721" customWidth="1"/>
    <col min="14594" max="14597" width="0" style="721" hidden="1" customWidth="1"/>
    <col min="14598" max="14598" width="12.140625" style="721" customWidth="1"/>
    <col min="14599" max="14612" width="0" style="721" hidden="1" customWidth="1"/>
    <col min="14613" max="14613" width="9.85546875" style="721" customWidth="1"/>
    <col min="14614" max="14614" width="12.85546875" style="721" customWidth="1"/>
    <col min="14615" max="14615" width="12.7109375" style="721" customWidth="1"/>
    <col min="14616" max="14620" width="8.85546875" style="721" customWidth="1"/>
    <col min="14621" max="14848" width="14.42578125" style="721"/>
    <col min="14849" max="14849" width="58.42578125" style="721" customWidth="1"/>
    <col min="14850" max="14853" width="0" style="721" hidden="1" customWidth="1"/>
    <col min="14854" max="14854" width="12.140625" style="721" customWidth="1"/>
    <col min="14855" max="14868" width="0" style="721" hidden="1" customWidth="1"/>
    <col min="14869" max="14869" width="9.85546875" style="721" customWidth="1"/>
    <col min="14870" max="14870" width="12.85546875" style="721" customWidth="1"/>
    <col min="14871" max="14871" width="12.7109375" style="721" customWidth="1"/>
    <col min="14872" max="14876" width="8.85546875" style="721" customWidth="1"/>
    <col min="14877" max="15104" width="14.42578125" style="721"/>
    <col min="15105" max="15105" width="58.42578125" style="721" customWidth="1"/>
    <col min="15106" max="15109" width="0" style="721" hidden="1" customWidth="1"/>
    <col min="15110" max="15110" width="12.140625" style="721" customWidth="1"/>
    <col min="15111" max="15124" width="0" style="721" hidden="1" customWidth="1"/>
    <col min="15125" max="15125" width="9.85546875" style="721" customWidth="1"/>
    <col min="15126" max="15126" width="12.85546875" style="721" customWidth="1"/>
    <col min="15127" max="15127" width="12.7109375" style="721" customWidth="1"/>
    <col min="15128" max="15132" width="8.85546875" style="721" customWidth="1"/>
    <col min="15133" max="15360" width="14.42578125" style="721"/>
    <col min="15361" max="15361" width="58.42578125" style="721" customWidth="1"/>
    <col min="15362" max="15365" width="0" style="721" hidden="1" customWidth="1"/>
    <col min="15366" max="15366" width="12.140625" style="721" customWidth="1"/>
    <col min="15367" max="15380" width="0" style="721" hidden="1" customWidth="1"/>
    <col min="15381" max="15381" width="9.85546875" style="721" customWidth="1"/>
    <col min="15382" max="15382" width="12.85546875" style="721" customWidth="1"/>
    <col min="15383" max="15383" width="12.7109375" style="721" customWidth="1"/>
    <col min="15384" max="15388" width="8.85546875" style="721" customWidth="1"/>
    <col min="15389" max="15616" width="14.42578125" style="721"/>
    <col min="15617" max="15617" width="58.42578125" style="721" customWidth="1"/>
    <col min="15618" max="15621" width="0" style="721" hidden="1" customWidth="1"/>
    <col min="15622" max="15622" width="12.140625" style="721" customWidth="1"/>
    <col min="15623" max="15636" width="0" style="721" hidden="1" customWidth="1"/>
    <col min="15637" max="15637" width="9.85546875" style="721" customWidth="1"/>
    <col min="15638" max="15638" width="12.85546875" style="721" customWidth="1"/>
    <col min="15639" max="15639" width="12.7109375" style="721" customWidth="1"/>
    <col min="15640" max="15644" width="8.85546875" style="721" customWidth="1"/>
    <col min="15645" max="15872" width="14.42578125" style="721"/>
    <col min="15873" max="15873" width="58.42578125" style="721" customWidth="1"/>
    <col min="15874" max="15877" width="0" style="721" hidden="1" customWidth="1"/>
    <col min="15878" max="15878" width="12.140625" style="721" customWidth="1"/>
    <col min="15879" max="15892" width="0" style="721" hidden="1" customWidth="1"/>
    <col min="15893" max="15893" width="9.85546875" style="721" customWidth="1"/>
    <col min="15894" max="15894" width="12.85546875" style="721" customWidth="1"/>
    <col min="15895" max="15895" width="12.7109375" style="721" customWidth="1"/>
    <col min="15896" max="15900" width="8.85546875" style="721" customWidth="1"/>
    <col min="15901" max="16128" width="14.42578125" style="721"/>
    <col min="16129" max="16129" width="58.42578125" style="721" customWidth="1"/>
    <col min="16130" max="16133" width="0" style="721" hidden="1" customWidth="1"/>
    <col min="16134" max="16134" width="12.140625" style="721" customWidth="1"/>
    <col min="16135" max="16148" width="0" style="721" hidden="1" customWidth="1"/>
    <col min="16149" max="16149" width="9.85546875" style="721" customWidth="1"/>
    <col min="16150" max="16150" width="12.85546875" style="721" customWidth="1"/>
    <col min="16151" max="16151" width="12.7109375" style="721" customWidth="1"/>
    <col min="16152" max="16156" width="8.85546875" style="721" customWidth="1"/>
    <col min="16157" max="16384" width="14.42578125" style="721"/>
  </cols>
  <sheetData>
    <row r="1" spans="1:28" ht="52.15" customHeight="1">
      <c r="A1" s="715" t="s">
        <v>1295</v>
      </c>
      <c r="B1" s="1000" t="s">
        <v>726</v>
      </c>
      <c r="C1" s="1001"/>
      <c r="D1" s="1001"/>
      <c r="E1" s="1001"/>
      <c r="F1" s="1002"/>
      <c r="G1" s="1001"/>
      <c r="H1" s="1001"/>
      <c r="I1" s="1001"/>
      <c r="J1" s="716" t="s">
        <v>727</v>
      </c>
      <c r="K1" s="717" t="s">
        <v>728</v>
      </c>
      <c r="L1" s="718" t="s">
        <v>729</v>
      </c>
      <c r="M1" s="718"/>
      <c r="N1" s="718"/>
      <c r="O1" s="718"/>
      <c r="P1" s="1003" t="s">
        <v>730</v>
      </c>
      <c r="Q1" s="1004"/>
      <c r="R1" s="1004"/>
      <c r="S1" s="1005"/>
      <c r="T1" s="719"/>
      <c r="U1" s="1003" t="s">
        <v>731</v>
      </c>
      <c r="V1" s="1004"/>
      <c r="W1" s="1005"/>
      <c r="X1" s="720"/>
      <c r="Y1" s="720"/>
      <c r="Z1" s="720"/>
      <c r="AA1" s="720"/>
      <c r="AB1" s="720"/>
    </row>
    <row r="2" spans="1:28" ht="48" customHeight="1">
      <c r="A2" s="722" t="s">
        <v>732</v>
      </c>
      <c r="B2" s="722" t="s">
        <v>1296</v>
      </c>
      <c r="C2" s="723" t="s">
        <v>733</v>
      </c>
      <c r="D2" s="722" t="s">
        <v>734</v>
      </c>
      <c r="E2" s="722" t="s">
        <v>1297</v>
      </c>
      <c r="F2" s="723" t="s">
        <v>735</v>
      </c>
      <c r="G2" s="724" t="s">
        <v>733</v>
      </c>
      <c r="H2" s="722" t="s">
        <v>734</v>
      </c>
      <c r="I2" s="722" t="s">
        <v>736</v>
      </c>
      <c r="J2" s="719"/>
      <c r="K2" s="725"/>
      <c r="L2" s="719"/>
      <c r="M2" s="719"/>
      <c r="N2" s="719"/>
      <c r="O2" s="719"/>
      <c r="P2" s="726" t="s">
        <v>737</v>
      </c>
      <c r="Q2" s="726" t="s">
        <v>738</v>
      </c>
      <c r="R2" s="726" t="s">
        <v>739</v>
      </c>
      <c r="S2" s="727" t="s">
        <v>740</v>
      </c>
      <c r="T2" s="727" t="s">
        <v>741</v>
      </c>
      <c r="U2" s="724" t="s">
        <v>733</v>
      </c>
      <c r="V2" s="722" t="s">
        <v>734</v>
      </c>
      <c r="W2" s="722" t="s">
        <v>742</v>
      </c>
      <c r="X2" s="720"/>
      <c r="Y2" s="720"/>
      <c r="Z2" s="720"/>
      <c r="AA2" s="720"/>
      <c r="AB2" s="720"/>
    </row>
    <row r="3" spans="1:28" ht="15" customHeight="1">
      <c r="A3" s="728" t="s">
        <v>743</v>
      </c>
      <c r="B3" s="729"/>
      <c r="C3" s="730"/>
      <c r="D3" s="731"/>
      <c r="E3" s="731"/>
      <c r="F3" s="731"/>
      <c r="G3" s="731"/>
      <c r="H3" s="731"/>
      <c r="I3" s="731"/>
      <c r="J3" s="731"/>
      <c r="K3" s="731"/>
      <c r="L3" s="731"/>
      <c r="M3" s="731"/>
      <c r="N3" s="731"/>
      <c r="O3" s="731"/>
      <c r="P3" s="731"/>
      <c r="Q3" s="731"/>
      <c r="R3" s="731"/>
      <c r="S3" s="731"/>
      <c r="T3" s="731"/>
      <c r="U3" s="731"/>
      <c r="V3" s="731"/>
      <c r="W3" s="731"/>
      <c r="X3" s="720"/>
      <c r="Y3" s="720"/>
      <c r="Z3" s="720"/>
      <c r="AA3" s="720"/>
      <c r="AB3" s="720"/>
    </row>
    <row r="4" spans="1:28" ht="30" customHeight="1">
      <c r="A4" s="732" t="s">
        <v>1298</v>
      </c>
      <c r="B4" s="733"/>
      <c r="C4" s="734"/>
      <c r="D4" s="735"/>
      <c r="E4" s="735"/>
      <c r="F4" s="736"/>
      <c r="G4" s="735"/>
      <c r="H4" s="735"/>
      <c r="I4" s="737"/>
      <c r="J4" s="719"/>
      <c r="K4" s="725"/>
      <c r="L4" s="719"/>
      <c r="M4" s="719"/>
      <c r="N4" s="719"/>
      <c r="O4" s="719"/>
      <c r="P4" s="719"/>
      <c r="Q4" s="719"/>
      <c r="R4" s="719"/>
      <c r="S4" s="719"/>
      <c r="T4" s="719"/>
      <c r="U4" s="719"/>
      <c r="V4" s="738"/>
      <c r="W4" s="738"/>
      <c r="X4" s="720"/>
      <c r="Y4" s="720"/>
      <c r="Z4" s="720"/>
      <c r="AA4" s="720"/>
      <c r="AB4" s="720"/>
    </row>
    <row r="5" spans="1:28" ht="28.5" customHeight="1">
      <c r="A5" s="739" t="s">
        <v>744</v>
      </c>
      <c r="B5" s="740"/>
      <c r="C5" s="741"/>
      <c r="D5" s="742"/>
      <c r="E5" s="742">
        <f>SUM(E6:E12)</f>
        <v>378415.38014131843</v>
      </c>
      <c r="F5" s="742"/>
      <c r="G5" s="742"/>
      <c r="H5" s="742"/>
      <c r="I5" s="742">
        <f>SUM(I6:I12)</f>
        <v>102894.1309138489</v>
      </c>
      <c r="J5" s="742">
        <f t="shared" ref="J5:W5" si="0">SUM(J6:J12)</f>
        <v>0</v>
      </c>
      <c r="K5" s="742">
        <f t="shared" si="0"/>
        <v>8882.7495962398352</v>
      </c>
      <c r="L5" s="742">
        <f t="shared" si="0"/>
        <v>12337.9707</v>
      </c>
      <c r="M5" s="742">
        <f t="shared" si="0"/>
        <v>0</v>
      </c>
      <c r="N5" s="742">
        <f t="shared" si="0"/>
        <v>655.95699999999999</v>
      </c>
      <c r="O5" s="742">
        <f t="shared" si="0"/>
        <v>0</v>
      </c>
      <c r="P5" s="742">
        <f t="shared" si="0"/>
        <v>0</v>
      </c>
      <c r="Q5" s="742">
        <f t="shared" si="0"/>
        <v>28473.34810056147</v>
      </c>
      <c r="R5" s="742">
        <f t="shared" si="0"/>
        <v>24125.220098268637</v>
      </c>
      <c r="S5" s="742">
        <f t="shared" si="0"/>
        <v>52598.568198830108</v>
      </c>
      <c r="T5" s="742">
        <f t="shared" si="0"/>
        <v>0</v>
      </c>
      <c r="U5" s="742">
        <f t="shared" si="0"/>
        <v>76</v>
      </c>
      <c r="V5" s="742">
        <f t="shared" si="0"/>
        <v>8882.7495962398352</v>
      </c>
      <c r="W5" s="742">
        <f t="shared" si="0"/>
        <v>99864.958943262027</v>
      </c>
      <c r="X5" s="720"/>
      <c r="Y5" s="720"/>
      <c r="Z5" s="720"/>
      <c r="AA5" s="720"/>
      <c r="AB5" s="720"/>
    </row>
    <row r="6" spans="1:28" ht="28.9" customHeight="1">
      <c r="A6" s="743" t="s">
        <v>437</v>
      </c>
      <c r="B6" s="733" t="s">
        <v>745</v>
      </c>
      <c r="C6" s="744">
        <f>4*12</f>
        <v>48</v>
      </c>
      <c r="D6" s="735">
        <f t="shared" ref="D6:D12" si="1">K6</f>
        <v>988.91383205502302</v>
      </c>
      <c r="E6" s="735">
        <f>C6*D6</f>
        <v>47467.863938641109</v>
      </c>
      <c r="F6" s="745" t="s">
        <v>745</v>
      </c>
      <c r="G6" s="735">
        <f>C6/4</f>
        <v>12</v>
      </c>
      <c r="H6" s="735">
        <f t="shared" ref="H6:H12" si="2">D6</f>
        <v>988.91383205502302</v>
      </c>
      <c r="I6" s="735">
        <f>G6*H6</f>
        <v>11866.965984660277</v>
      </c>
      <c r="J6" s="719" t="s">
        <v>746</v>
      </c>
      <c r="K6" s="725">
        <f>((320558+15000)/[1]DG!$E$21+60000)/N6</f>
        <v>988.91383205502302</v>
      </c>
      <c r="L6" s="746" t="s">
        <v>747</v>
      </c>
      <c r="M6" s="719"/>
      <c r="N6" s="747">
        <f>655.957</f>
        <v>655.95699999999999</v>
      </c>
      <c r="O6" s="719"/>
      <c r="P6" s="748">
        <f>0</f>
        <v>0</v>
      </c>
      <c r="Q6" s="748">
        <f>('[2]Bank XOF'!G47+'[2]Bank XOF'!G53+'[2]Bank XOF'!G61+'[2]Bank XOF'!G86)/655.957</f>
        <v>3355.9029021719412</v>
      </c>
      <c r="R6" s="749">
        <f>'[2]Bank XOF'!G141/655.957+[2]Details!C25+'[2]Bank XOF'!G184/655.957+'[2]Bank XOF'!G229/655.957</f>
        <v>2966.7310509682802</v>
      </c>
      <c r="S6" s="749">
        <f t="shared" ref="S6:S11" si="3">P6+Q6+R6</f>
        <v>6322.6339531402209</v>
      </c>
      <c r="T6" s="719"/>
      <c r="U6" s="750">
        <f>12</f>
        <v>12</v>
      </c>
      <c r="V6" s="749">
        <f>H6</f>
        <v>988.91383205502302</v>
      </c>
      <c r="W6" s="749">
        <f>U6*V6</f>
        <v>11866.965984660277</v>
      </c>
      <c r="X6" s="720"/>
      <c r="Y6" s="720"/>
      <c r="Z6" s="720"/>
      <c r="AA6" s="720"/>
      <c r="AB6" s="720"/>
    </row>
    <row r="7" spans="1:28" ht="13.5" customHeight="1">
      <c r="A7" s="743" t="s">
        <v>438</v>
      </c>
      <c r="B7" s="733" t="s">
        <v>745</v>
      </c>
      <c r="C7" s="744">
        <f>C6+12</f>
        <v>60</v>
      </c>
      <c r="D7" s="735">
        <f t="shared" si="1"/>
        <v>1009.7239901956291</v>
      </c>
      <c r="E7" s="735">
        <f>C7*D7</f>
        <v>60583.439411737745</v>
      </c>
      <c r="F7" s="745" t="s">
        <v>745</v>
      </c>
      <c r="G7" s="735">
        <f>C7/4</f>
        <v>15</v>
      </c>
      <c r="H7" s="735">
        <f t="shared" si="2"/>
        <v>1009.7239901956291</v>
      </c>
      <c r="I7" s="735">
        <f>G7*H7</f>
        <v>15145.859852934436</v>
      </c>
      <c r="J7" s="719" t="s">
        <v>748</v>
      </c>
      <c r="K7" s="725">
        <f>((343339)/[1]DG!$E$21+60000)/N6</f>
        <v>1009.7239901956291</v>
      </c>
      <c r="L7" s="719"/>
      <c r="M7" s="719"/>
      <c r="N7" s="719"/>
      <c r="O7" s="719"/>
      <c r="P7" s="748">
        <f>0</f>
        <v>0</v>
      </c>
      <c r="Q7" s="748">
        <f>('[2]Bank XOF'!G42+'[2]Bank XOF'!G48+'[2]Bank XOF'!G56+'[2]Bank XOF'!G81)/655.957</f>
        <v>3481.4965005328095</v>
      </c>
      <c r="R7" s="751">
        <f>'[2]Bank XOF'!G136/655.957+[2]Details!C26+'[2]Bank XOF'!G179/655.957+'[2]Bank XOF'!G224/655.957</f>
        <v>3029.1634969975166</v>
      </c>
      <c r="S7" s="751">
        <f t="shared" si="3"/>
        <v>6510.6599975303261</v>
      </c>
      <c r="T7" s="719"/>
      <c r="U7" s="719">
        <f>12</f>
        <v>12</v>
      </c>
      <c r="V7" s="751">
        <f t="shared" ref="V7:V12" si="4">H7</f>
        <v>1009.7239901956291</v>
      </c>
      <c r="W7" s="751">
        <f t="shared" ref="W7:W12" si="5">U7*V7</f>
        <v>12116.687882347549</v>
      </c>
      <c r="X7" s="720"/>
      <c r="Y7" s="720"/>
      <c r="Z7" s="720"/>
      <c r="AA7" s="720"/>
      <c r="AB7" s="720"/>
    </row>
    <row r="8" spans="1:28" ht="13.5" customHeight="1">
      <c r="A8" s="743" t="s">
        <v>81</v>
      </c>
      <c r="B8" s="733" t="s">
        <v>745</v>
      </c>
      <c r="C8" s="744">
        <f>12*4</f>
        <v>48</v>
      </c>
      <c r="D8" s="735">
        <f t="shared" si="1"/>
        <v>661.57039218617513</v>
      </c>
      <c r="E8" s="735">
        <f>C8*D8</f>
        <v>31755.378824936408</v>
      </c>
      <c r="F8" s="745" t="s">
        <v>745</v>
      </c>
      <c r="G8" s="735">
        <v>12</v>
      </c>
      <c r="H8" s="735">
        <f t="shared" si="2"/>
        <v>661.57039218617513</v>
      </c>
      <c r="I8" s="735">
        <f>G8*H8</f>
        <v>7938.844706234102</v>
      </c>
      <c r="J8" s="719" t="s">
        <v>749</v>
      </c>
      <c r="K8" s="725">
        <f>((213163)/[1]DG!$E$21+60000)/N6</f>
        <v>661.57039218617513</v>
      </c>
      <c r="L8" s="719"/>
      <c r="M8" s="719"/>
      <c r="N8" s="719"/>
      <c r="O8" s="719"/>
      <c r="P8" s="748">
        <f>0</f>
        <v>0</v>
      </c>
      <c r="Q8" s="748">
        <f>('[2]Bank XOF'!G45+'[2]Bank XOF'!G51+'[2]Bank XOF'!G59+'[2]Bank XOF'!G84)/655.957</f>
        <v>2227.310631642013</v>
      </c>
      <c r="R8" s="751">
        <f>'[2]Bank XOF'!G139/655.957+[2]Details!C27+'[2]Bank XOF'!G182/655.957+'[2]Bank XOF'!G227/655.957</f>
        <v>1984.7093635710876</v>
      </c>
      <c r="S8" s="751">
        <f t="shared" si="3"/>
        <v>4212.0199952131006</v>
      </c>
      <c r="T8" s="719"/>
      <c r="U8" s="719">
        <f>12</f>
        <v>12</v>
      </c>
      <c r="V8" s="751">
        <f t="shared" si="4"/>
        <v>661.57039218617513</v>
      </c>
      <c r="W8" s="751">
        <f t="shared" si="5"/>
        <v>7938.844706234102</v>
      </c>
      <c r="X8" s="720"/>
      <c r="Y8" s="720"/>
      <c r="Z8" s="720"/>
      <c r="AA8" s="720"/>
      <c r="AB8" s="720"/>
    </row>
    <row r="9" spans="1:28" ht="13.5" customHeight="1">
      <c r="A9" s="743" t="s">
        <v>439</v>
      </c>
      <c r="B9" s="733" t="s">
        <v>750</v>
      </c>
      <c r="C9" s="744">
        <f>40</f>
        <v>40</v>
      </c>
      <c r="D9" s="735">
        <f t="shared" si="1"/>
        <v>2026.3089842768684</v>
      </c>
      <c r="E9" s="735">
        <f>D9*C9</f>
        <v>81052.359371074737</v>
      </c>
      <c r="F9" s="745" t="s">
        <v>745</v>
      </c>
      <c r="G9" s="735">
        <f>12</f>
        <v>12</v>
      </c>
      <c r="H9" s="735">
        <f t="shared" si="2"/>
        <v>2026.3089842768684</v>
      </c>
      <c r="I9" s="735">
        <f>G9*H9</f>
        <v>24315.70781132242</v>
      </c>
      <c r="J9" s="719" t="s">
        <v>751</v>
      </c>
      <c r="K9" s="725">
        <f>((642744+75000)/[1]DG!$E$21+70000)/N6</f>
        <v>2026.3089842768684</v>
      </c>
      <c r="L9" s="719"/>
      <c r="M9" s="719"/>
      <c r="N9" s="719"/>
      <c r="O9" s="719"/>
      <c r="P9" s="748">
        <v>0</v>
      </c>
      <c r="Q9" s="748">
        <f>('[2]Bank XOF'!G46+'[2]Bank XOF'!G52+'[2]Bank XOF'!G60+'[2]Bank XOF'!G85)/655.957</f>
        <v>7399.3996557701194</v>
      </c>
      <c r="R9" s="751">
        <f>'[2]Bank XOF'!G140/655.957+[2]Details!C28+'[2]Bank XOF'!G183/655.957+'[2]Bank XOF'!G228/655.957</f>
        <v>6078.9289541844973</v>
      </c>
      <c r="S9" s="751">
        <f t="shared" si="3"/>
        <v>13478.328609954617</v>
      </c>
      <c r="T9" s="719"/>
      <c r="U9" s="719">
        <f>12</f>
        <v>12</v>
      </c>
      <c r="V9" s="751">
        <f t="shared" si="4"/>
        <v>2026.3089842768684</v>
      </c>
      <c r="W9" s="751">
        <f t="shared" si="5"/>
        <v>24315.70781132242</v>
      </c>
      <c r="X9" s="720"/>
      <c r="Y9" s="720"/>
      <c r="Z9" s="720"/>
      <c r="AA9" s="720"/>
      <c r="AB9" s="720"/>
    </row>
    <row r="10" spans="1:28" ht="13.5" customHeight="1">
      <c r="A10" s="743" t="s">
        <v>440</v>
      </c>
      <c r="B10" s="733" t="s">
        <v>745</v>
      </c>
      <c r="C10" s="744">
        <f>40</f>
        <v>40</v>
      </c>
      <c r="D10" s="735">
        <f t="shared" si="1"/>
        <v>1698.331691756777</v>
      </c>
      <c r="E10" s="735">
        <f>D10*C10</f>
        <v>67933.267670271074</v>
      </c>
      <c r="F10" s="745" t="s">
        <v>745</v>
      </c>
      <c r="G10" s="735">
        <f>12</f>
        <v>12</v>
      </c>
      <c r="H10" s="735">
        <f t="shared" si="2"/>
        <v>1698.331691756777</v>
      </c>
      <c r="I10" s="735">
        <f>H10*G10</f>
        <v>20379.980301081323</v>
      </c>
      <c r="J10" s="719" t="s">
        <v>752</v>
      </c>
      <c r="K10" s="725">
        <f>((545112+50000)/[1]DG!$E$21+70000)/N6</f>
        <v>1698.331691756777</v>
      </c>
      <c r="L10" s="719"/>
      <c r="M10" s="719"/>
      <c r="N10" s="719"/>
      <c r="O10" s="719"/>
      <c r="P10" s="748">
        <f>0</f>
        <v>0</v>
      </c>
      <c r="Q10" s="748">
        <f>('[2]Bank XOF'!G44+'[2]Bank XOF'!G50+'[2]Bank XOF'!G58+'[2]Bank XOF'!G83)/655.957</f>
        <v>6087.4782950711706</v>
      </c>
      <c r="R10" s="751">
        <f>'[2]Bank XOF'!G138/655.957+[2]Details!C29+'[2]Bank XOF'!G181/655.957+'[2]Bank XOF'!G226/655.957</f>
        <v>5094.9879336602853</v>
      </c>
      <c r="S10" s="751">
        <f t="shared" si="3"/>
        <v>11182.466228731457</v>
      </c>
      <c r="T10" s="719"/>
      <c r="U10" s="719">
        <f>12</f>
        <v>12</v>
      </c>
      <c r="V10" s="751">
        <f t="shared" si="4"/>
        <v>1698.331691756777</v>
      </c>
      <c r="W10" s="751">
        <f t="shared" si="5"/>
        <v>20379.980301081323</v>
      </c>
      <c r="X10" s="720"/>
      <c r="Y10" s="720"/>
      <c r="Z10" s="720"/>
      <c r="AA10" s="720"/>
      <c r="AB10" s="720"/>
    </row>
    <row r="11" spans="1:28" ht="13.5" customHeight="1">
      <c r="A11" s="743" t="s">
        <v>77</v>
      </c>
      <c r="B11" s="733" t="s">
        <v>745</v>
      </c>
      <c r="C11" s="744">
        <f>12*4</f>
        <v>48</v>
      </c>
      <c r="D11" s="735">
        <f t="shared" si="1"/>
        <v>1656.8961793173623</v>
      </c>
      <c r="E11" s="735">
        <f>D11*C11</f>
        <v>79531.016607233396</v>
      </c>
      <c r="F11" s="745" t="s">
        <v>745</v>
      </c>
      <c r="G11" s="735">
        <f>12</f>
        <v>12</v>
      </c>
      <c r="H11" s="735">
        <f t="shared" si="2"/>
        <v>1656.8961793173623</v>
      </c>
      <c r="I11" s="735">
        <f>H11*G11</f>
        <v>19882.754151808349</v>
      </c>
      <c r="J11" s="719" t="s">
        <v>753</v>
      </c>
      <c r="K11" s="725">
        <f>((569520+50000)/[1]DG!$E$21)/N6</f>
        <v>1656.8961793173623</v>
      </c>
      <c r="L11" s="719"/>
      <c r="M11" s="719"/>
      <c r="N11" s="719"/>
      <c r="O11" s="719"/>
      <c r="P11" s="748">
        <f>0</f>
        <v>0</v>
      </c>
      <c r="Q11" s="748">
        <f>('[2]Bank XOF'!G43+'[2]Bank XOF'!G49+'[2]Bank XOF'!G57+'[2]Bank XOF'!G82)/655.957</f>
        <v>5921.7601153734167</v>
      </c>
      <c r="R11" s="751">
        <f>'[2]Bank XOF'!G137/655.957+[2]Details!C30+'[2]Bank XOF'!G180/655.957+'[2]Bank XOF'!G225/655.957</f>
        <v>4970.6992988869706</v>
      </c>
      <c r="S11" s="751">
        <f t="shared" si="3"/>
        <v>10892.459414260387</v>
      </c>
      <c r="T11" s="719"/>
      <c r="U11" s="719">
        <f>12</f>
        <v>12</v>
      </c>
      <c r="V11" s="751">
        <f t="shared" si="4"/>
        <v>1656.8961793173623</v>
      </c>
      <c r="W11" s="751">
        <f t="shared" si="5"/>
        <v>19882.754151808349</v>
      </c>
      <c r="X11" s="720"/>
      <c r="Y11" s="720"/>
      <c r="Z11" s="720"/>
      <c r="AA11" s="720"/>
      <c r="AB11" s="720"/>
    </row>
    <row r="12" spans="1:28" ht="13.5" customHeight="1">
      <c r="A12" s="752" t="s">
        <v>754</v>
      </c>
      <c r="B12" s="733" t="s">
        <v>755</v>
      </c>
      <c r="C12" s="744">
        <f>4*3</f>
        <v>12</v>
      </c>
      <c r="D12" s="735">
        <f t="shared" si="1"/>
        <v>841.00452645200062</v>
      </c>
      <c r="E12" s="735">
        <f>D12*C12</f>
        <v>10092.054317424008</v>
      </c>
      <c r="F12" s="745" t="s">
        <v>745</v>
      </c>
      <c r="G12" s="735">
        <f>C12/3</f>
        <v>4</v>
      </c>
      <c r="H12" s="735">
        <f t="shared" si="2"/>
        <v>841.00452645200062</v>
      </c>
      <c r="I12" s="735">
        <f>H12*G12</f>
        <v>3364.0181058080025</v>
      </c>
      <c r="J12" s="719" t="s">
        <v>756</v>
      </c>
      <c r="K12" s="725">
        <f>((224554+50000)/[1]DG!$E$21+70000)/N6</f>
        <v>841.00452645200062</v>
      </c>
      <c r="L12" s="753">
        <f>(112360+0.331*112360)*0.99/12</f>
        <v>12337.9707</v>
      </c>
      <c r="M12" s="719" t="s">
        <v>757</v>
      </c>
      <c r="N12" s="719"/>
      <c r="O12" s="719"/>
      <c r="P12" s="748">
        <f>0</f>
        <v>0</v>
      </c>
      <c r="Q12" s="748"/>
      <c r="R12" s="751"/>
      <c r="S12" s="719"/>
      <c r="T12" s="719"/>
      <c r="U12" s="719">
        <v>4</v>
      </c>
      <c r="V12" s="751">
        <f t="shared" si="4"/>
        <v>841.00452645200062</v>
      </c>
      <c r="W12" s="751">
        <f t="shared" si="5"/>
        <v>3364.0181058080025</v>
      </c>
      <c r="X12" s="720"/>
      <c r="Y12" s="720"/>
      <c r="Z12" s="720"/>
      <c r="AA12" s="720"/>
      <c r="AB12" s="720"/>
    </row>
    <row r="13" spans="1:28" ht="27.75" customHeight="1">
      <c r="A13" s="739" t="s">
        <v>758</v>
      </c>
      <c r="B13" s="740" t="s">
        <v>745</v>
      </c>
      <c r="C13" s="754"/>
      <c r="D13" s="755"/>
      <c r="E13" s="742">
        <f>SUM(E15:E24)</f>
        <v>2032375.7071012398</v>
      </c>
      <c r="F13" s="742"/>
      <c r="G13" s="742"/>
      <c r="H13" s="742"/>
      <c r="I13" s="742">
        <f>SUM(I15:I24)</f>
        <v>733195.09360084264</v>
      </c>
      <c r="J13" s="742">
        <f t="shared" ref="J13:W13" si="6">SUM(J15:J24)</f>
        <v>0</v>
      </c>
      <c r="K13" s="742">
        <f t="shared" si="6"/>
        <v>54259.489722649494</v>
      </c>
      <c r="L13" s="742">
        <f t="shared" si="6"/>
        <v>0</v>
      </c>
      <c r="M13" s="742">
        <f t="shared" si="6"/>
        <v>9924.950887500001</v>
      </c>
      <c r="N13" s="742">
        <f t="shared" si="6"/>
        <v>0</v>
      </c>
      <c r="O13" s="742">
        <f t="shared" si="6"/>
        <v>0</v>
      </c>
      <c r="P13" s="742">
        <f t="shared" si="6"/>
        <v>0</v>
      </c>
      <c r="Q13" s="742">
        <f t="shared" si="6"/>
        <v>73964.174480949208</v>
      </c>
      <c r="R13" s="742">
        <f t="shared" si="6"/>
        <v>109959.35709200452</v>
      </c>
      <c r="S13" s="742">
        <f t="shared" si="6"/>
        <v>183923.53157295371</v>
      </c>
      <c r="T13" s="742">
        <f t="shared" si="6"/>
        <v>0</v>
      </c>
      <c r="U13" s="742">
        <f t="shared" si="6"/>
        <v>115.2</v>
      </c>
      <c r="V13" s="742">
        <f t="shared" si="6"/>
        <v>54737.352564609158</v>
      </c>
      <c r="W13" s="742">
        <f t="shared" si="6"/>
        <v>579039.69438382087</v>
      </c>
      <c r="X13" s="720"/>
      <c r="Y13" s="720"/>
      <c r="Z13" s="720"/>
      <c r="AA13" s="720"/>
      <c r="AB13" s="720"/>
    </row>
    <row r="14" spans="1:28" ht="13.5" customHeight="1">
      <c r="A14" s="743" t="s">
        <v>759</v>
      </c>
      <c r="B14" s="756"/>
      <c r="C14" s="744"/>
      <c r="D14" s="735"/>
      <c r="E14" s="735">
        <f>SUM(E15:E24)</f>
        <v>2032375.7071012398</v>
      </c>
      <c r="F14" s="745"/>
      <c r="G14" s="735"/>
      <c r="H14" s="735"/>
      <c r="I14" s="737"/>
      <c r="J14" s="719"/>
      <c r="K14" s="725"/>
      <c r="L14" s="719"/>
      <c r="M14" s="719" t="s">
        <v>760</v>
      </c>
      <c r="N14" s="719"/>
      <c r="O14" s="719"/>
      <c r="P14" s="748"/>
      <c r="Q14" s="748"/>
      <c r="R14" s="719"/>
      <c r="S14" s="719"/>
      <c r="T14" s="719"/>
      <c r="U14" s="719"/>
      <c r="V14" s="719"/>
      <c r="W14" s="719"/>
      <c r="X14" s="720"/>
      <c r="Y14" s="720"/>
      <c r="Z14" s="720"/>
      <c r="AA14" s="720"/>
      <c r="AB14" s="720"/>
    </row>
    <row r="15" spans="1:28" ht="13.5" customHeight="1">
      <c r="A15" s="743" t="s">
        <v>761</v>
      </c>
      <c r="B15" s="733" t="s">
        <v>755</v>
      </c>
      <c r="C15" s="744">
        <f>12*4*40/100</f>
        <v>19.2</v>
      </c>
      <c r="D15" s="735">
        <f>10000.07</f>
        <v>10000.07</v>
      </c>
      <c r="E15" s="735">
        <f>D15*C15</f>
        <v>192001.34399999998</v>
      </c>
      <c r="F15" s="745" t="s">
        <v>745</v>
      </c>
      <c r="G15" s="735">
        <f>12*60/100</f>
        <v>7.2</v>
      </c>
      <c r="H15" s="735">
        <f>D15</f>
        <v>10000.07</v>
      </c>
      <c r="I15" s="735">
        <f>H15*G15</f>
        <v>72000.504000000001</v>
      </c>
      <c r="J15" s="747" t="s">
        <v>762</v>
      </c>
      <c r="K15" s="725">
        <f>[1]DG!$C$23/N6</f>
        <v>8578.6741102440137</v>
      </c>
      <c r="L15" s="719"/>
      <c r="M15" s="747" t="s">
        <v>763</v>
      </c>
      <c r="N15" s="719"/>
      <c r="O15" s="719"/>
      <c r="P15" s="748">
        <f>0</f>
        <v>0</v>
      </c>
      <c r="Q15" s="748">
        <f>('[2]Bank XOF'!G54+'[2]Bank XOF'!G55+'[2]Bank XOF'!G62+'[2]Bank XOF'!G71+'[2]Bank XOF'!G87)/655.957</f>
        <v>16000</v>
      </c>
      <c r="R15" s="751">
        <f>[2]Details!C18+'[2]Bank XOF'!G142/655.957+'[2]Bank XOF'!G185/655.957+[2]Details!C41+'[2]Bank XOF'!G230/655.957+[2]Details!C61</f>
        <v>12000</v>
      </c>
      <c r="S15" s="751">
        <f>P15+Q15+R15</f>
        <v>28000</v>
      </c>
      <c r="T15" s="719"/>
      <c r="U15" s="751">
        <f>G15</f>
        <v>7.2</v>
      </c>
      <c r="V15" s="751">
        <f>H15</f>
        <v>10000.07</v>
      </c>
      <c r="W15" s="751">
        <f>U15*V15</f>
        <v>72000.504000000001</v>
      </c>
      <c r="X15" s="720"/>
      <c r="Y15" s="720"/>
      <c r="Z15" s="720"/>
      <c r="AA15" s="720"/>
      <c r="AB15" s="720"/>
    </row>
    <row r="16" spans="1:28" ht="13.5" customHeight="1">
      <c r="A16" s="743" t="s">
        <v>764</v>
      </c>
      <c r="B16" s="733" t="s">
        <v>745</v>
      </c>
      <c r="C16" s="744">
        <f>12*4</f>
        <v>48</v>
      </c>
      <c r="D16" s="735">
        <f>7007.55</f>
        <v>7007.55</v>
      </c>
      <c r="E16" s="735">
        <f t="shared" ref="E16:E23" si="7">C16*D16</f>
        <v>336362.4</v>
      </c>
      <c r="F16" s="745" t="s">
        <v>745</v>
      </c>
      <c r="G16" s="735">
        <v>12</v>
      </c>
      <c r="H16" s="735">
        <f>D16</f>
        <v>7007.55</v>
      </c>
      <c r="I16" s="735">
        <f t="shared" ref="I16:I24" si="8">G16*H16</f>
        <v>84090.6</v>
      </c>
      <c r="J16" s="719" t="s">
        <v>765</v>
      </c>
      <c r="K16" s="725">
        <f>[1]P3Chief!$C$23/N6</f>
        <v>6127.5509421095185</v>
      </c>
      <c r="L16" s="719"/>
      <c r="M16" s="719"/>
      <c r="N16" s="719"/>
      <c r="O16" s="719"/>
      <c r="P16" s="748">
        <f>0</f>
        <v>0</v>
      </c>
      <c r="Q16" s="748">
        <f>0</f>
        <v>0</v>
      </c>
      <c r="R16" s="751">
        <f>0</f>
        <v>0</v>
      </c>
      <c r="S16" s="751">
        <f t="shared" ref="S16:S24" si="9">P16+Q16+R16</f>
        <v>0</v>
      </c>
      <c r="T16" s="719"/>
      <c r="U16" s="751">
        <v>0</v>
      </c>
      <c r="V16" s="751">
        <f t="shared" ref="V16:V24" si="10">H16</f>
        <v>7007.55</v>
      </c>
      <c r="W16" s="751">
        <f t="shared" ref="W16:W24" si="11">U16*V16</f>
        <v>0</v>
      </c>
      <c r="X16" s="720"/>
      <c r="Y16" s="720"/>
      <c r="Z16" s="720"/>
      <c r="AA16" s="720"/>
      <c r="AB16" s="720"/>
    </row>
    <row r="17" spans="1:28" ht="13.5" customHeight="1">
      <c r="A17" s="743" t="s">
        <v>766</v>
      </c>
      <c r="B17" s="733" t="s">
        <v>755</v>
      </c>
      <c r="C17" s="744">
        <v>48</v>
      </c>
      <c r="D17" s="735">
        <f>5771.35</f>
        <v>5771.35</v>
      </c>
      <c r="E17" s="735">
        <f>D17*C17</f>
        <v>277024.80000000005</v>
      </c>
      <c r="F17" s="745" t="s">
        <v>745</v>
      </c>
      <c r="G17" s="735">
        <f>12</f>
        <v>12</v>
      </c>
      <c r="H17" s="735">
        <f>D17</f>
        <v>5771.35</v>
      </c>
      <c r="I17" s="735">
        <f>H17*G17</f>
        <v>69256.200000000012</v>
      </c>
      <c r="J17" s="719" t="s">
        <v>767</v>
      </c>
      <c r="K17" s="725">
        <f>[1]financeadmin!$C$23/N6</f>
        <v>5571.3519839461023</v>
      </c>
      <c r="L17" s="719"/>
      <c r="M17" s="719"/>
      <c r="N17" s="719"/>
      <c r="O17" s="719"/>
      <c r="P17" s="748">
        <f>0</f>
        <v>0</v>
      </c>
      <c r="Q17" s="748">
        <f>('[2]Bank XOF'!G36+'[2]Bank XOF'!G72+'[2]Bank XOF'!G73+'[2]Bank XOF'!G80)/655.957</f>
        <v>8244.7843379977658</v>
      </c>
      <c r="R17" s="751">
        <f>('[2]Bank XOF'!G128+'[2]Bank XOF'!G134)/655.957+('[2]Bank XOF'!G177+'[2]Bank XOF'!G191)/655.957+('[2]Bank XOF'!G221+'[2]Bank XOF'!G232)/655.957</f>
        <v>17314.048024489413</v>
      </c>
      <c r="S17" s="751">
        <f t="shared" si="9"/>
        <v>25558.832362487177</v>
      </c>
      <c r="T17" s="719"/>
      <c r="U17" s="751">
        <f t="shared" ref="U17:U23" si="12">G17</f>
        <v>12</v>
      </c>
      <c r="V17" s="751">
        <f t="shared" si="10"/>
        <v>5771.35</v>
      </c>
      <c r="W17" s="751">
        <f t="shared" si="11"/>
        <v>69256.200000000012</v>
      </c>
      <c r="X17" s="720"/>
      <c r="Y17" s="720"/>
      <c r="Z17" s="720"/>
      <c r="AA17" s="720"/>
      <c r="AB17" s="720"/>
    </row>
    <row r="18" spans="1:28" ht="13.5" customHeight="1">
      <c r="A18" s="743" t="s">
        <v>230</v>
      </c>
      <c r="B18" s="733" t="s">
        <v>745</v>
      </c>
      <c r="C18" s="744">
        <f>12*2</f>
        <v>24</v>
      </c>
      <c r="D18" s="735">
        <f>4229.8</f>
        <v>4229.8</v>
      </c>
      <c r="E18" s="735">
        <f t="shared" si="7"/>
        <v>101515.20000000001</v>
      </c>
      <c r="F18" s="745" t="s">
        <v>745</v>
      </c>
      <c r="G18" s="735">
        <f>12</f>
        <v>12</v>
      </c>
      <c r="H18" s="735">
        <f>D18</f>
        <v>4229.8</v>
      </c>
      <c r="I18" s="735">
        <f t="shared" si="8"/>
        <v>50757.600000000006</v>
      </c>
      <c r="J18" s="719" t="s">
        <v>768</v>
      </c>
      <c r="K18" s="725">
        <f>[1]climatechangescienctist!$C$23/N6</f>
        <v>4729.7968210314602</v>
      </c>
      <c r="L18" s="719"/>
      <c r="M18" s="719"/>
      <c r="N18" s="719"/>
      <c r="O18" s="719"/>
      <c r="P18" s="748">
        <f>0</f>
        <v>0</v>
      </c>
      <c r="Q18" s="748">
        <f>0</f>
        <v>0</v>
      </c>
      <c r="R18" s="751">
        <f>('[2]Bank XOF'!G166+'[2]Bank XOF'!G188)/655.957+[2]Details!C49+'[2]Bank XOF'!G223/655.957+[2]Details!C62</f>
        <v>8459.600248187</v>
      </c>
      <c r="S18" s="751">
        <f t="shared" si="9"/>
        <v>8459.600248187</v>
      </c>
      <c r="T18" s="719"/>
      <c r="U18" s="751">
        <f t="shared" si="12"/>
        <v>12</v>
      </c>
      <c r="V18" s="751">
        <f t="shared" si="10"/>
        <v>4229.8</v>
      </c>
      <c r="W18" s="751">
        <f t="shared" si="11"/>
        <v>50757.600000000006</v>
      </c>
      <c r="X18" s="720"/>
      <c r="Y18" s="720"/>
      <c r="Z18" s="720"/>
      <c r="AA18" s="720"/>
      <c r="AB18" s="720"/>
    </row>
    <row r="19" spans="1:28" ht="19.5" customHeight="1">
      <c r="A19" s="743" t="s">
        <v>444</v>
      </c>
      <c r="B19" s="733" t="s">
        <v>745</v>
      </c>
      <c r="C19" s="744">
        <f>12*4</f>
        <v>48</v>
      </c>
      <c r="D19" s="735">
        <f>K19</f>
        <v>5657.9826624814332</v>
      </c>
      <c r="E19" s="735">
        <f t="shared" si="7"/>
        <v>271583.16779910878</v>
      </c>
      <c r="F19" s="745" t="s">
        <v>745</v>
      </c>
      <c r="G19" s="735">
        <v>12</v>
      </c>
      <c r="H19" s="735">
        <f>K19</f>
        <v>5657.9826624814332</v>
      </c>
      <c r="I19" s="735">
        <f t="shared" si="8"/>
        <v>67895.791949777195</v>
      </c>
      <c r="J19" s="718" t="s">
        <v>769</v>
      </c>
      <c r="K19" s="725">
        <f>[1]Leadforecaster!$C$23/N6</f>
        <v>5657.9826624814332</v>
      </c>
      <c r="L19" s="757" t="s">
        <v>770</v>
      </c>
      <c r="M19" s="753">
        <f>((90385 +0.331*90385)/12)*0.99</f>
        <v>9924.950887500001</v>
      </c>
      <c r="N19" s="719"/>
      <c r="O19" s="719"/>
      <c r="P19" s="748">
        <f>0</f>
        <v>0</v>
      </c>
      <c r="Q19" s="748">
        <f>0</f>
        <v>0</v>
      </c>
      <c r="R19" s="751">
        <f>'[2]Bank XOF'!G135/655.957+('[2]Bank XOF'!G178+'[2]Bank XOF'!G193)/655.957+[2]Details!C50+'[2]Bank XOF'!G222/655.957+[2]Details!C63</f>
        <v>16973.941889483609</v>
      </c>
      <c r="S19" s="751">
        <f t="shared" si="9"/>
        <v>16973.941889483609</v>
      </c>
      <c r="T19" s="719"/>
      <c r="U19" s="751">
        <f t="shared" si="12"/>
        <v>12</v>
      </c>
      <c r="V19" s="751">
        <f t="shared" si="10"/>
        <v>5657.9826624814332</v>
      </c>
      <c r="W19" s="751">
        <f t="shared" si="11"/>
        <v>67895.791949777195</v>
      </c>
      <c r="X19" s="720"/>
      <c r="Y19" s="720"/>
      <c r="Z19" s="720"/>
      <c r="AA19" s="720"/>
      <c r="AB19" s="720"/>
    </row>
    <row r="20" spans="1:28" ht="17.25" customHeight="1">
      <c r="A20" s="746" t="s">
        <v>771</v>
      </c>
      <c r="B20" s="733" t="s">
        <v>745</v>
      </c>
      <c r="C20" s="744">
        <f>12*3*2</f>
        <v>72</v>
      </c>
      <c r="D20" s="735">
        <f>K20</f>
        <v>4523.533300709244</v>
      </c>
      <c r="E20" s="735">
        <f>D20*C20</f>
        <v>325694.39765106555</v>
      </c>
      <c r="F20" s="745" t="s">
        <v>745</v>
      </c>
      <c r="G20" s="735">
        <f>12*2*2</f>
        <v>48</v>
      </c>
      <c r="H20" s="735">
        <f>K20</f>
        <v>4523.533300709244</v>
      </c>
      <c r="I20" s="735">
        <f>H20*G20</f>
        <v>217129.5984340437</v>
      </c>
      <c r="J20" s="718" t="s">
        <v>768</v>
      </c>
      <c r="K20" s="725">
        <f>[1]forecasters!$C$23/N6</f>
        <v>4523.533300709244</v>
      </c>
      <c r="L20" s="757"/>
      <c r="M20" s="719"/>
      <c r="N20" s="719"/>
      <c r="O20" s="719"/>
      <c r="P20" s="748">
        <f>0</f>
        <v>0</v>
      </c>
      <c r="Q20" s="748">
        <f>('[2]Bank XOF'!G18+'[2]Bank XOF'!G19+'[2]Bank XOF'!G25+'[2]Bank XOF'!G27+'[2]Bank XOF'!G28+'[2]Bank XOF'!G30+'[2]Bank XOF'!G32+'[2]Bank XOF'!G34+'[2]Bank XOF'!G40+'[2]Bank XOF'!G41+'[2]Bank XOF'!G67+'[2]Bank XOF'!G68+'[2]Bank XOF'!G76+'[2]Bank XOF'!G78)/655.957</f>
        <v>27148.800912254919</v>
      </c>
      <c r="R20" s="751">
        <f>[2]Details!C14+[2]Details!C15+('[2]Bank XOF'!G130+'[2]Bank XOF'!G132)/655.957+('[2]Bank XOF'!G173+'[2]Bank XOF'!G175)/655.957+[2]Details!C37+[2]Details!C38+('[2]Bank XOF'!G217+'[2]Bank XOF'!G219)/655.957+[2]Details!C57+[2]Details!C58</f>
        <v>27141.17846139305</v>
      </c>
      <c r="S20" s="751">
        <f t="shared" si="9"/>
        <v>54289.97937364797</v>
      </c>
      <c r="T20" s="719"/>
      <c r="U20" s="751">
        <f>24</f>
        <v>24</v>
      </c>
      <c r="V20" s="751">
        <f t="shared" si="10"/>
        <v>4523.533300709244</v>
      </c>
      <c r="W20" s="751">
        <f t="shared" si="11"/>
        <v>108564.79921702185</v>
      </c>
      <c r="X20" s="720"/>
      <c r="Y20" s="720"/>
      <c r="Z20" s="720"/>
      <c r="AA20" s="720"/>
      <c r="AB20" s="720"/>
    </row>
    <row r="21" spans="1:28" ht="13.5" customHeight="1">
      <c r="A21" s="743" t="s">
        <v>772</v>
      </c>
      <c r="B21" s="733" t="s">
        <v>745</v>
      </c>
      <c r="C21" s="744">
        <f>12*3</f>
        <v>36</v>
      </c>
      <c r="D21" s="735">
        <f>D20</f>
        <v>4523.533300709244</v>
      </c>
      <c r="E21" s="735">
        <f t="shared" si="7"/>
        <v>162847.19882553277</v>
      </c>
      <c r="F21" s="745" t="s">
        <v>745</v>
      </c>
      <c r="G21" s="735">
        <v>12</v>
      </c>
      <c r="H21" s="735">
        <f>H20</f>
        <v>4523.533300709244</v>
      </c>
      <c r="I21" s="735">
        <f t="shared" si="8"/>
        <v>54282.399608510925</v>
      </c>
      <c r="J21" s="719" t="s">
        <v>773</v>
      </c>
      <c r="K21" s="725">
        <f>K20</f>
        <v>4523.533300709244</v>
      </c>
      <c r="L21" s="719"/>
      <c r="M21" s="719"/>
      <c r="N21" s="719"/>
      <c r="O21" s="719"/>
      <c r="P21" s="748">
        <f>0</f>
        <v>0</v>
      </c>
      <c r="Q21" s="748">
        <f>('[2]Bank XOF'!G20+'[2]Bank XOF'!G26+'[2]Bank XOF'!G29+'[2]Bank XOF'!G33+'[2]Bank XOF'!G39+'[2]Bank XOF'!G69+'[2]Bank XOF'!G77)/655.957</f>
        <v>13570.589230696525</v>
      </c>
      <c r="R21" s="751">
        <f>[2]Details!C16+('[2]Bank XOF'!G131)/655.957+'[2]Bank XOF'!G174/655.957+[2]Details!C39+'[2]Bank XOF'!G218/655.957+[2]Details!C59</f>
        <v>13570.589230696525</v>
      </c>
      <c r="S21" s="751">
        <f t="shared" si="9"/>
        <v>27141.17846139305</v>
      </c>
      <c r="T21" s="719"/>
      <c r="U21" s="751">
        <f t="shared" si="12"/>
        <v>12</v>
      </c>
      <c r="V21" s="751">
        <f t="shared" si="10"/>
        <v>4523.533300709244</v>
      </c>
      <c r="W21" s="751">
        <f t="shared" si="11"/>
        <v>54282.399608510925</v>
      </c>
      <c r="X21" s="720"/>
      <c r="Y21" s="720"/>
      <c r="Z21" s="720"/>
      <c r="AA21" s="720"/>
      <c r="AB21" s="720"/>
    </row>
    <row r="22" spans="1:28" ht="13.5" customHeight="1">
      <c r="A22" s="743" t="s">
        <v>774</v>
      </c>
      <c r="B22" s="733" t="s">
        <v>750</v>
      </c>
      <c r="C22" s="744">
        <f>12*3</f>
        <v>36</v>
      </c>
      <c r="D22" s="735">
        <f>D20</f>
        <v>4523.533300709244</v>
      </c>
      <c r="E22" s="735">
        <f t="shared" si="7"/>
        <v>162847.19882553277</v>
      </c>
      <c r="F22" s="745" t="s">
        <v>745</v>
      </c>
      <c r="G22" s="735">
        <v>12</v>
      </c>
      <c r="H22" s="735">
        <f>D22</f>
        <v>4523.533300709244</v>
      </c>
      <c r="I22" s="735">
        <f t="shared" si="8"/>
        <v>54282.399608510925</v>
      </c>
      <c r="J22" s="719" t="s">
        <v>768</v>
      </c>
      <c r="K22" s="725">
        <f>K21</f>
        <v>4523.533300709244</v>
      </c>
      <c r="L22" s="719"/>
      <c r="M22" s="719"/>
      <c r="N22" s="719"/>
      <c r="O22" s="719"/>
      <c r="P22" s="748">
        <f>0</f>
        <v>0</v>
      </c>
      <c r="Q22" s="748">
        <f>0</f>
        <v>0</v>
      </c>
      <c r="R22" s="751">
        <f>0</f>
        <v>0</v>
      </c>
      <c r="S22" s="751">
        <f t="shared" si="9"/>
        <v>0</v>
      </c>
      <c r="T22" s="719"/>
      <c r="U22" s="751">
        <f t="shared" si="12"/>
        <v>12</v>
      </c>
      <c r="V22" s="751">
        <f t="shared" si="10"/>
        <v>4523.533300709244</v>
      </c>
      <c r="W22" s="751">
        <f t="shared" si="11"/>
        <v>54282.399608510925</v>
      </c>
      <c r="X22" s="720"/>
      <c r="Y22" s="720"/>
      <c r="Z22" s="720"/>
      <c r="AA22" s="720"/>
      <c r="AB22" s="720"/>
    </row>
    <row r="23" spans="1:28" ht="13.5" customHeight="1">
      <c r="A23" s="743" t="s">
        <v>775</v>
      </c>
      <c r="B23" s="733" t="s">
        <v>750</v>
      </c>
      <c r="C23" s="744">
        <f>40</f>
        <v>40</v>
      </c>
      <c r="D23" s="735">
        <f>3000</f>
        <v>3000</v>
      </c>
      <c r="E23" s="735">
        <f t="shared" si="7"/>
        <v>120000</v>
      </c>
      <c r="F23" s="745" t="s">
        <v>745</v>
      </c>
      <c r="G23" s="735">
        <f>12</f>
        <v>12</v>
      </c>
      <c r="H23" s="735">
        <f>D23</f>
        <v>3000</v>
      </c>
      <c r="I23" s="735">
        <f t="shared" si="8"/>
        <v>36000</v>
      </c>
      <c r="J23" s="719" t="s">
        <v>768</v>
      </c>
      <c r="K23" s="725">
        <f>K22</f>
        <v>4523.533300709244</v>
      </c>
      <c r="L23" s="719"/>
      <c r="M23" s="719"/>
      <c r="N23" s="719"/>
      <c r="O23" s="719"/>
      <c r="P23" s="748">
        <f>0</f>
        <v>0</v>
      </c>
      <c r="Q23" s="748">
        <f>('[2]Bank XOF'!G21+'[2]Bank XOF'!G24+'[2]Bank XOF'!G31+'[2]Bank XOF'!G35+'[2]Bank XOF'!G38+'[2]Bank XOF'!G70+'[2]Bank XOF'!G79)/655.957</f>
        <v>9000</v>
      </c>
      <c r="R23" s="751">
        <f>[2]Details!C17+'[2]Bank XOF'!G133/655.957+'[2]Bank XOF'!G176/655.957+[2]Details!C40+'[2]Bank XOF'!G220/655.957+[2]Details!C60</f>
        <v>9000</v>
      </c>
      <c r="S23" s="751">
        <f t="shared" si="9"/>
        <v>18000</v>
      </c>
      <c r="T23" s="719"/>
      <c r="U23" s="751">
        <f t="shared" si="12"/>
        <v>12</v>
      </c>
      <c r="V23" s="751">
        <f t="shared" si="10"/>
        <v>3000</v>
      </c>
      <c r="W23" s="751">
        <f t="shared" si="11"/>
        <v>36000</v>
      </c>
      <c r="X23" s="720"/>
      <c r="Y23" s="720"/>
      <c r="Z23" s="720"/>
      <c r="AA23" s="720"/>
      <c r="AB23" s="720"/>
    </row>
    <row r="24" spans="1:28" ht="13.5" customHeight="1">
      <c r="A24" s="743" t="s">
        <v>776</v>
      </c>
      <c r="B24" s="733" t="s">
        <v>745</v>
      </c>
      <c r="C24" s="744">
        <f>15</f>
        <v>15</v>
      </c>
      <c r="D24" s="735">
        <f>H24</f>
        <v>5500</v>
      </c>
      <c r="E24" s="735">
        <f>D24*C24</f>
        <v>82500</v>
      </c>
      <c r="F24" s="745" t="s">
        <v>745</v>
      </c>
      <c r="G24" s="735">
        <f>5</f>
        <v>5</v>
      </c>
      <c r="H24" s="735">
        <f>5500</f>
        <v>5500</v>
      </c>
      <c r="I24" s="735">
        <f t="shared" si="8"/>
        <v>27500</v>
      </c>
      <c r="J24" s="758" t="s">
        <v>777</v>
      </c>
      <c r="K24" s="725">
        <f>5500</f>
        <v>5500</v>
      </c>
      <c r="L24" s="719"/>
      <c r="M24" s="719"/>
      <c r="N24" s="719"/>
      <c r="O24" s="719"/>
      <c r="P24" s="748">
        <f>0</f>
        <v>0</v>
      </c>
      <c r="Q24" s="748">
        <f>0</f>
        <v>0</v>
      </c>
      <c r="R24" s="751">
        <f>('[2]Bank XOF'!G165+'[2]Bank XOF'!G189)/655.957</f>
        <v>5499.9992377549142</v>
      </c>
      <c r="S24" s="751">
        <f t="shared" si="9"/>
        <v>5499.9992377549142</v>
      </c>
      <c r="T24" s="719"/>
      <c r="U24" s="751">
        <v>12</v>
      </c>
      <c r="V24" s="751">
        <f t="shared" si="10"/>
        <v>5500</v>
      </c>
      <c r="W24" s="751">
        <f t="shared" si="11"/>
        <v>66000</v>
      </c>
      <c r="X24" s="720"/>
      <c r="Y24" s="720"/>
      <c r="Z24" s="720"/>
      <c r="AA24" s="720"/>
      <c r="AB24" s="720"/>
    </row>
    <row r="25" spans="1:28" ht="8.25" customHeight="1">
      <c r="A25" s="743"/>
      <c r="B25" s="733"/>
      <c r="C25" s="744"/>
      <c r="D25" s="735"/>
      <c r="E25" s="737"/>
      <c r="F25" s="745"/>
      <c r="G25" s="735"/>
      <c r="H25" s="735"/>
      <c r="I25" s="737"/>
      <c r="J25" s="758"/>
      <c r="K25" s="725"/>
      <c r="L25" s="719"/>
      <c r="M25" s="719"/>
      <c r="N25" s="719"/>
      <c r="O25" s="719"/>
      <c r="P25" s="748"/>
      <c r="Q25" s="748"/>
      <c r="R25" s="719"/>
      <c r="S25" s="719"/>
      <c r="T25" s="719"/>
      <c r="U25" s="719"/>
      <c r="V25" s="719"/>
      <c r="W25" s="719"/>
      <c r="X25" s="720"/>
      <c r="Y25" s="720"/>
      <c r="Z25" s="720"/>
      <c r="AA25" s="720"/>
      <c r="AB25" s="720"/>
    </row>
    <row r="26" spans="1:28" ht="19.149999999999999" customHeight="1">
      <c r="A26" s="739" t="s">
        <v>1299</v>
      </c>
      <c r="B26" s="759"/>
      <c r="C26" s="760"/>
      <c r="D26" s="755"/>
      <c r="E26" s="742">
        <f>E27+E38</f>
        <v>278440</v>
      </c>
      <c r="F26" s="742"/>
      <c r="G26" s="742"/>
      <c r="H26" s="742"/>
      <c r="I26" s="742">
        <f>I27+I37+I38</f>
        <v>55640</v>
      </c>
      <c r="J26" s="742">
        <f t="shared" ref="J26:W26" si="13">J27+J37+J38</f>
        <v>0</v>
      </c>
      <c r="K26" s="742">
        <f t="shared" si="13"/>
        <v>9340.4700000000012</v>
      </c>
      <c r="L26" s="742">
        <f t="shared" si="13"/>
        <v>6162.42</v>
      </c>
      <c r="M26" s="742">
        <f t="shared" si="13"/>
        <v>0</v>
      </c>
      <c r="N26" s="742">
        <f t="shared" si="13"/>
        <v>0</v>
      </c>
      <c r="O26" s="742">
        <f t="shared" si="13"/>
        <v>0</v>
      </c>
      <c r="P26" s="742">
        <f t="shared" si="13"/>
        <v>0</v>
      </c>
      <c r="Q26" s="742">
        <f t="shared" si="13"/>
        <v>0</v>
      </c>
      <c r="R26" s="742">
        <f t="shared" si="13"/>
        <v>10583.998646252727</v>
      </c>
      <c r="S26" s="742">
        <f t="shared" si="13"/>
        <v>10583.998646252727</v>
      </c>
      <c r="T26" s="742">
        <f t="shared" si="13"/>
        <v>0</v>
      </c>
      <c r="U26" s="742">
        <f t="shared" si="13"/>
        <v>289</v>
      </c>
      <c r="V26" s="742">
        <f t="shared" si="13"/>
        <v>2120</v>
      </c>
      <c r="W26" s="742">
        <f t="shared" si="13"/>
        <v>54820</v>
      </c>
      <c r="X26" s="720"/>
      <c r="Y26" s="720"/>
      <c r="Z26" s="720"/>
      <c r="AA26" s="720"/>
      <c r="AB26" s="720"/>
    </row>
    <row r="27" spans="1:28" ht="16.149999999999999" customHeight="1">
      <c r="A27" s="761" t="s">
        <v>778</v>
      </c>
      <c r="B27" s="756" t="s">
        <v>779</v>
      </c>
      <c r="C27" s="762"/>
      <c r="D27" s="737"/>
      <c r="E27" s="763">
        <f>SUM(E28:E35)</f>
        <v>151920</v>
      </c>
      <c r="F27" s="763"/>
      <c r="G27" s="763"/>
      <c r="H27" s="763"/>
      <c r="I27" s="763">
        <f>SUM(I28:I35)</f>
        <v>29880</v>
      </c>
      <c r="J27" s="763">
        <f t="shared" ref="J27:W27" si="14">SUM(J28:J35)</f>
        <v>0</v>
      </c>
      <c r="K27" s="763">
        <f t="shared" si="14"/>
        <v>9340.4700000000012</v>
      </c>
      <c r="L27" s="763">
        <f t="shared" si="14"/>
        <v>6162.42</v>
      </c>
      <c r="M27" s="763">
        <f t="shared" si="14"/>
        <v>0</v>
      </c>
      <c r="N27" s="763">
        <f t="shared" si="14"/>
        <v>0</v>
      </c>
      <c r="O27" s="763">
        <f t="shared" si="14"/>
        <v>0</v>
      </c>
      <c r="P27" s="763">
        <f t="shared" si="14"/>
        <v>0</v>
      </c>
      <c r="Q27" s="763">
        <f t="shared" si="14"/>
        <v>0</v>
      </c>
      <c r="R27" s="763">
        <f t="shared" si="14"/>
        <v>10583.998646252727</v>
      </c>
      <c r="S27" s="763">
        <f t="shared" si="14"/>
        <v>10583.998646252727</v>
      </c>
      <c r="T27" s="763">
        <f t="shared" si="14"/>
        <v>0</v>
      </c>
      <c r="U27" s="763">
        <f t="shared" si="14"/>
        <v>217</v>
      </c>
      <c r="V27" s="763">
        <f t="shared" si="14"/>
        <v>1440</v>
      </c>
      <c r="W27" s="763">
        <f t="shared" si="14"/>
        <v>39060</v>
      </c>
      <c r="X27" s="720"/>
      <c r="Y27" s="720"/>
      <c r="Z27" s="720"/>
      <c r="AA27" s="720"/>
      <c r="AB27" s="720"/>
    </row>
    <row r="28" spans="1:28" ht="27" customHeight="1">
      <c r="A28" s="743" t="s">
        <v>780</v>
      </c>
      <c r="B28" s="733" t="s">
        <v>779</v>
      </c>
      <c r="C28" s="744">
        <f>15*1*6</f>
        <v>90</v>
      </c>
      <c r="D28" s="735">
        <v>180</v>
      </c>
      <c r="E28" s="735">
        <f t="shared" ref="E28:E35" si="15">C28*D28</f>
        <v>16200</v>
      </c>
      <c r="F28" s="764" t="s">
        <v>779</v>
      </c>
      <c r="G28" s="765">
        <v>10</v>
      </c>
      <c r="H28" s="735">
        <f>D28</f>
        <v>180</v>
      </c>
      <c r="I28" s="765">
        <f t="shared" ref="I28:I35" si="16">G28*H28</f>
        <v>1800</v>
      </c>
      <c r="J28" s="766" t="s">
        <v>781</v>
      </c>
      <c r="K28" s="767">
        <f>((56022+13462+1793)*0.11+1500)</f>
        <v>9340.4700000000012</v>
      </c>
      <c r="L28" s="747">
        <f>56022*0.11</f>
        <v>6162.42</v>
      </c>
      <c r="M28" s="719"/>
      <c r="N28" s="719"/>
      <c r="O28" s="719"/>
      <c r="P28" s="748">
        <f>0</f>
        <v>0</v>
      </c>
      <c r="Q28" s="748">
        <f>0</f>
        <v>0</v>
      </c>
      <c r="R28" s="751">
        <f>0</f>
        <v>0</v>
      </c>
      <c r="S28" s="751">
        <f>P28+Q28+R28</f>
        <v>0</v>
      </c>
      <c r="T28" s="719"/>
      <c r="U28" s="749">
        <v>45</v>
      </c>
      <c r="V28" s="749">
        <f>180</f>
        <v>180</v>
      </c>
      <c r="W28" s="749">
        <f>U28*V28</f>
        <v>8100</v>
      </c>
      <c r="X28" s="720"/>
      <c r="Y28" s="720"/>
      <c r="Z28" s="720"/>
      <c r="AA28" s="720"/>
      <c r="AB28" s="720"/>
    </row>
    <row r="29" spans="1:28" ht="28.5" customHeight="1">
      <c r="A29" s="743" t="s">
        <v>782</v>
      </c>
      <c r="B29" s="733" t="s">
        <v>779</v>
      </c>
      <c r="C29" s="744">
        <f>C28</f>
        <v>90</v>
      </c>
      <c r="D29" s="735">
        <f>D28</f>
        <v>180</v>
      </c>
      <c r="E29" s="735">
        <f t="shared" si="15"/>
        <v>16200</v>
      </c>
      <c r="F29" s="764" t="s">
        <v>779</v>
      </c>
      <c r="G29" s="765">
        <f>G28</f>
        <v>10</v>
      </c>
      <c r="H29" s="735">
        <f>H28</f>
        <v>180</v>
      </c>
      <c r="I29" s="765">
        <f t="shared" si="16"/>
        <v>1800</v>
      </c>
      <c r="J29" s="719"/>
      <c r="K29" s="725"/>
      <c r="L29" s="719"/>
      <c r="M29" s="719"/>
      <c r="N29" s="719"/>
      <c r="O29" s="719"/>
      <c r="P29" s="748">
        <f>0</f>
        <v>0</v>
      </c>
      <c r="Q29" s="748">
        <f>0</f>
        <v>0</v>
      </c>
      <c r="R29" s="751">
        <f>0</f>
        <v>0</v>
      </c>
      <c r="S29" s="751">
        <f t="shared" ref="S29:S35" si="17">P29+Q29+R29</f>
        <v>0</v>
      </c>
      <c r="T29" s="719"/>
      <c r="U29" s="749">
        <v>45</v>
      </c>
      <c r="V29" s="749">
        <f>180</f>
        <v>180</v>
      </c>
      <c r="W29" s="749">
        <f t="shared" ref="W29:W35" si="18">U29*V29</f>
        <v>8100</v>
      </c>
      <c r="X29" s="720"/>
      <c r="Y29" s="720"/>
      <c r="Z29" s="720"/>
      <c r="AA29" s="720"/>
      <c r="AB29" s="720"/>
    </row>
    <row r="30" spans="1:28" ht="36" customHeight="1">
      <c r="A30" s="743" t="s">
        <v>783</v>
      </c>
      <c r="B30" s="733" t="s">
        <v>779</v>
      </c>
      <c r="C30" s="744">
        <f>2*3*2</f>
        <v>12</v>
      </c>
      <c r="D30" s="735">
        <f t="shared" ref="D30:D35" si="19">D29</f>
        <v>180</v>
      </c>
      <c r="E30" s="735">
        <f t="shared" si="15"/>
        <v>2160</v>
      </c>
      <c r="F30" s="764" t="s">
        <v>779</v>
      </c>
      <c r="G30" s="765">
        <f>C30/4</f>
        <v>3</v>
      </c>
      <c r="H30" s="735">
        <f t="shared" ref="H30:H35" si="20">D30</f>
        <v>180</v>
      </c>
      <c r="I30" s="765">
        <f t="shared" si="16"/>
        <v>540</v>
      </c>
      <c r="J30" s="719"/>
      <c r="K30" s="725"/>
      <c r="L30" s="719"/>
      <c r="M30" s="719"/>
      <c r="N30" s="719"/>
      <c r="O30" s="719"/>
      <c r="P30" s="748">
        <f>0</f>
        <v>0</v>
      </c>
      <c r="Q30" s="748">
        <f>0</f>
        <v>0</v>
      </c>
      <c r="R30" s="751">
        <f>0</f>
        <v>0</v>
      </c>
      <c r="S30" s="751">
        <f t="shared" si="17"/>
        <v>0</v>
      </c>
      <c r="T30" s="719"/>
      <c r="U30" s="749">
        <f>G30</f>
        <v>3</v>
      </c>
      <c r="V30" s="749">
        <f>180</f>
        <v>180</v>
      </c>
      <c r="W30" s="749">
        <f t="shared" si="18"/>
        <v>540</v>
      </c>
      <c r="X30" s="720"/>
      <c r="Y30" s="720"/>
      <c r="Z30" s="720"/>
      <c r="AA30" s="720"/>
      <c r="AB30" s="720"/>
    </row>
    <row r="31" spans="1:28" ht="36" customHeight="1">
      <c r="A31" s="743" t="s">
        <v>784</v>
      </c>
      <c r="B31" s="733" t="s">
        <v>779</v>
      </c>
      <c r="C31" s="744">
        <f>5*4*4*5</f>
        <v>400</v>
      </c>
      <c r="D31" s="735">
        <f t="shared" si="19"/>
        <v>180</v>
      </c>
      <c r="E31" s="735">
        <f t="shared" si="15"/>
        <v>72000</v>
      </c>
      <c r="F31" s="764" t="s">
        <v>779</v>
      </c>
      <c r="G31" s="765">
        <f>C31/5</f>
        <v>80</v>
      </c>
      <c r="H31" s="735">
        <f t="shared" si="20"/>
        <v>180</v>
      </c>
      <c r="I31" s="765">
        <f t="shared" si="16"/>
        <v>14400</v>
      </c>
      <c r="J31" s="719"/>
      <c r="K31" s="725" t="s">
        <v>449</v>
      </c>
      <c r="L31" s="719"/>
      <c r="M31" s="719"/>
      <c r="N31" s="719"/>
      <c r="O31" s="719"/>
      <c r="P31" s="748">
        <f>0</f>
        <v>0</v>
      </c>
      <c r="Q31" s="748">
        <f>0</f>
        <v>0</v>
      </c>
      <c r="R31" s="751">
        <f>0</f>
        <v>0</v>
      </c>
      <c r="S31" s="751">
        <f t="shared" si="17"/>
        <v>0</v>
      </c>
      <c r="T31" s="719"/>
      <c r="U31" s="749">
        <v>40</v>
      </c>
      <c r="V31" s="749">
        <f>180</f>
        <v>180</v>
      </c>
      <c r="W31" s="749">
        <f t="shared" si="18"/>
        <v>7200</v>
      </c>
      <c r="X31" s="720"/>
      <c r="Y31" s="720"/>
      <c r="Z31" s="720"/>
      <c r="AA31" s="720"/>
      <c r="AB31" s="720"/>
    </row>
    <row r="32" spans="1:28" ht="33.75" customHeight="1">
      <c r="A32" s="743" t="s">
        <v>785</v>
      </c>
      <c r="B32" s="733" t="s">
        <v>779</v>
      </c>
      <c r="C32" s="744">
        <f>2*4*7</f>
        <v>56</v>
      </c>
      <c r="D32" s="735">
        <f t="shared" si="19"/>
        <v>180</v>
      </c>
      <c r="E32" s="735">
        <f t="shared" si="15"/>
        <v>10080</v>
      </c>
      <c r="F32" s="764" t="s">
        <v>779</v>
      </c>
      <c r="G32" s="765">
        <f>C32/4</f>
        <v>14</v>
      </c>
      <c r="H32" s="735">
        <f t="shared" si="20"/>
        <v>180</v>
      </c>
      <c r="I32" s="765">
        <f t="shared" si="16"/>
        <v>2520</v>
      </c>
      <c r="J32" s="719"/>
      <c r="K32" s="725"/>
      <c r="L32" s="719"/>
      <c r="M32" s="719"/>
      <c r="N32" s="719"/>
      <c r="O32" s="719"/>
      <c r="P32" s="748">
        <f>0</f>
        <v>0</v>
      </c>
      <c r="Q32" s="748">
        <f>0</f>
        <v>0</v>
      </c>
      <c r="R32" s="751">
        <f>0</f>
        <v>0</v>
      </c>
      <c r="S32" s="751">
        <f t="shared" si="17"/>
        <v>0</v>
      </c>
      <c r="T32" s="719"/>
      <c r="U32" s="749">
        <f>G32</f>
        <v>14</v>
      </c>
      <c r="V32" s="749">
        <f>180</f>
        <v>180</v>
      </c>
      <c r="W32" s="749">
        <f t="shared" si="18"/>
        <v>2520</v>
      </c>
      <c r="X32" s="720"/>
      <c r="Y32" s="720"/>
      <c r="Z32" s="720"/>
      <c r="AA32" s="720"/>
      <c r="AB32" s="720"/>
    </row>
    <row r="33" spans="1:28" ht="25.15" customHeight="1">
      <c r="A33" s="743" t="s">
        <v>786</v>
      </c>
      <c r="B33" s="733" t="s">
        <v>779</v>
      </c>
      <c r="C33" s="744">
        <f>C32</f>
        <v>56</v>
      </c>
      <c r="D33" s="735">
        <f t="shared" si="19"/>
        <v>180</v>
      </c>
      <c r="E33" s="735">
        <f t="shared" si="15"/>
        <v>10080</v>
      </c>
      <c r="F33" s="764" t="s">
        <v>779</v>
      </c>
      <c r="G33" s="765">
        <f>G32</f>
        <v>14</v>
      </c>
      <c r="H33" s="735">
        <f t="shared" si="20"/>
        <v>180</v>
      </c>
      <c r="I33" s="765">
        <f t="shared" si="16"/>
        <v>2520</v>
      </c>
      <c r="J33" s="719"/>
      <c r="K33" s="725"/>
      <c r="L33" s="719"/>
      <c r="M33" s="719"/>
      <c r="N33" s="719"/>
      <c r="O33" s="719"/>
      <c r="P33" s="748">
        <f>0</f>
        <v>0</v>
      </c>
      <c r="Q33" s="748">
        <f>0</f>
        <v>0</v>
      </c>
      <c r="R33" s="751">
        <f>0</f>
        <v>0</v>
      </c>
      <c r="S33" s="751">
        <f t="shared" si="17"/>
        <v>0</v>
      </c>
      <c r="T33" s="719"/>
      <c r="U33" s="749">
        <f>G33</f>
        <v>14</v>
      </c>
      <c r="V33" s="749">
        <f>180</f>
        <v>180</v>
      </c>
      <c r="W33" s="749">
        <f t="shared" si="18"/>
        <v>2520</v>
      </c>
      <c r="X33" s="720"/>
      <c r="Y33" s="720"/>
      <c r="Z33" s="720"/>
      <c r="AA33" s="720"/>
      <c r="AB33" s="720"/>
    </row>
    <row r="34" spans="1:28" ht="21.75" customHeight="1">
      <c r="A34" s="768" t="s">
        <v>447</v>
      </c>
      <c r="B34" s="733" t="s">
        <v>779</v>
      </c>
      <c r="C34" s="744">
        <f>3*4*7</f>
        <v>84</v>
      </c>
      <c r="D34" s="735">
        <f t="shared" si="19"/>
        <v>180</v>
      </c>
      <c r="E34" s="735">
        <f t="shared" si="15"/>
        <v>15120</v>
      </c>
      <c r="F34" s="764" t="s">
        <v>779</v>
      </c>
      <c r="G34" s="765">
        <f>C34/4</f>
        <v>21</v>
      </c>
      <c r="H34" s="735">
        <f t="shared" si="20"/>
        <v>180</v>
      </c>
      <c r="I34" s="765">
        <f t="shared" si="16"/>
        <v>3780</v>
      </c>
      <c r="J34" s="719"/>
      <c r="K34" s="725"/>
      <c r="L34" s="719"/>
      <c r="M34" s="719"/>
      <c r="N34" s="719"/>
      <c r="O34" s="719"/>
      <c r="P34" s="748">
        <f>0</f>
        <v>0</v>
      </c>
      <c r="Q34" s="748">
        <f>0</f>
        <v>0</v>
      </c>
      <c r="R34" s="751">
        <f>('[2]Bank XOF'!G117+'[2]Bank XOF'!G118+'[2]Bank XOF'!G119)/655.957+[2]Details!C71+[2]Details!C79</f>
        <v>10583.998646252727</v>
      </c>
      <c r="S34" s="751">
        <f t="shared" si="17"/>
        <v>10583.998646252727</v>
      </c>
      <c r="T34" s="719"/>
      <c r="U34" s="750">
        <f>G34*2</f>
        <v>42</v>
      </c>
      <c r="V34" s="749">
        <f>180</f>
        <v>180</v>
      </c>
      <c r="W34" s="749">
        <f t="shared" si="18"/>
        <v>7560</v>
      </c>
      <c r="X34" s="720"/>
      <c r="Y34" s="720"/>
      <c r="Z34" s="720"/>
      <c r="AA34" s="720"/>
      <c r="AB34" s="720"/>
    </row>
    <row r="35" spans="1:28" ht="26.25" customHeight="1">
      <c r="A35" s="768" t="s">
        <v>787</v>
      </c>
      <c r="B35" s="733" t="s">
        <v>779</v>
      </c>
      <c r="C35" s="744">
        <f>2*7*4</f>
        <v>56</v>
      </c>
      <c r="D35" s="735">
        <f t="shared" si="19"/>
        <v>180</v>
      </c>
      <c r="E35" s="735">
        <f t="shared" si="15"/>
        <v>10080</v>
      </c>
      <c r="F35" s="764" t="s">
        <v>779</v>
      </c>
      <c r="G35" s="765">
        <f>C35/4</f>
        <v>14</v>
      </c>
      <c r="H35" s="735">
        <f t="shared" si="20"/>
        <v>180</v>
      </c>
      <c r="I35" s="765">
        <f t="shared" si="16"/>
        <v>2520</v>
      </c>
      <c r="J35" s="719"/>
      <c r="K35" s="725"/>
      <c r="L35" s="719"/>
      <c r="M35" s="719"/>
      <c r="N35" s="719"/>
      <c r="O35" s="719"/>
      <c r="P35" s="748">
        <f>0</f>
        <v>0</v>
      </c>
      <c r="Q35" s="748">
        <f>0</f>
        <v>0</v>
      </c>
      <c r="R35" s="751">
        <f>0</f>
        <v>0</v>
      </c>
      <c r="S35" s="751">
        <f t="shared" si="17"/>
        <v>0</v>
      </c>
      <c r="T35" s="719"/>
      <c r="U35" s="749">
        <f>G35</f>
        <v>14</v>
      </c>
      <c r="V35" s="749">
        <f>180</f>
        <v>180</v>
      </c>
      <c r="W35" s="749">
        <f t="shared" si="18"/>
        <v>2520</v>
      </c>
      <c r="X35" s="720"/>
      <c r="Y35" s="720"/>
      <c r="Z35" s="720"/>
      <c r="AA35" s="720"/>
      <c r="AB35" s="720"/>
    </row>
    <row r="36" spans="1:28" ht="12.75" customHeight="1">
      <c r="A36" s="768"/>
      <c r="B36" s="733"/>
      <c r="C36" s="734"/>
      <c r="D36" s="735"/>
      <c r="E36" s="737"/>
      <c r="F36" s="745"/>
      <c r="G36" s="735"/>
      <c r="H36" s="735"/>
      <c r="I36" s="737"/>
      <c r="J36" s="719"/>
      <c r="K36" s="725"/>
      <c r="L36" s="719"/>
      <c r="M36" s="719"/>
      <c r="N36" s="719"/>
      <c r="O36" s="719"/>
      <c r="P36" s="748"/>
      <c r="Q36" s="748"/>
      <c r="R36" s="719"/>
      <c r="S36" s="719"/>
      <c r="T36" s="719"/>
      <c r="U36" s="719"/>
      <c r="V36" s="751"/>
      <c r="W36" s="751"/>
      <c r="X36" s="720"/>
      <c r="Y36" s="720"/>
      <c r="Z36" s="720"/>
      <c r="AA36" s="720"/>
      <c r="AB36" s="720"/>
    </row>
    <row r="37" spans="1:28" ht="13.5" customHeight="1">
      <c r="A37" s="761" t="s">
        <v>788</v>
      </c>
      <c r="B37" s="756" t="s">
        <v>779</v>
      </c>
      <c r="C37" s="734"/>
      <c r="D37" s="735"/>
      <c r="E37" s="735"/>
      <c r="F37" s="745"/>
      <c r="G37" s="735"/>
      <c r="H37" s="735"/>
      <c r="I37" s="737">
        <f>0</f>
        <v>0</v>
      </c>
      <c r="J37" s="737">
        <f>0</f>
        <v>0</v>
      </c>
      <c r="K37" s="737">
        <f>0</f>
        <v>0</v>
      </c>
      <c r="L37" s="737">
        <f>0</f>
        <v>0</v>
      </c>
      <c r="M37" s="737">
        <f>0</f>
        <v>0</v>
      </c>
      <c r="N37" s="737">
        <f>0</f>
        <v>0</v>
      </c>
      <c r="O37" s="737">
        <f>0</f>
        <v>0</v>
      </c>
      <c r="P37" s="737">
        <f>0</f>
        <v>0</v>
      </c>
      <c r="Q37" s="737">
        <f>0</f>
        <v>0</v>
      </c>
      <c r="R37" s="737">
        <f>0</f>
        <v>0</v>
      </c>
      <c r="S37" s="737">
        <f>0</f>
        <v>0</v>
      </c>
      <c r="T37" s="737">
        <f>0</f>
        <v>0</v>
      </c>
      <c r="U37" s="737">
        <f>0</f>
        <v>0</v>
      </c>
      <c r="V37" s="737">
        <f>0</f>
        <v>0</v>
      </c>
      <c r="W37" s="737">
        <f>0</f>
        <v>0</v>
      </c>
      <c r="X37" s="720"/>
      <c r="Y37" s="720"/>
      <c r="Z37" s="720"/>
      <c r="AA37" s="720"/>
      <c r="AB37" s="720"/>
    </row>
    <row r="38" spans="1:28" ht="13.5" customHeight="1">
      <c r="A38" s="761" t="s">
        <v>789</v>
      </c>
      <c r="B38" s="756" t="s">
        <v>779</v>
      </c>
      <c r="C38" s="734"/>
      <c r="D38" s="735"/>
      <c r="E38" s="737">
        <f>SUM(E39:E41)</f>
        <v>126520</v>
      </c>
      <c r="F38" s="737"/>
      <c r="G38" s="737"/>
      <c r="H38" s="737"/>
      <c r="I38" s="737">
        <f>SUM(I39:I41)</f>
        <v>25760</v>
      </c>
      <c r="J38" s="737">
        <f t="shared" ref="J38:W38" si="21">SUM(J39:J41)</f>
        <v>0</v>
      </c>
      <c r="K38" s="737">
        <f t="shared" si="21"/>
        <v>0</v>
      </c>
      <c r="L38" s="737">
        <f t="shared" si="21"/>
        <v>0</v>
      </c>
      <c r="M38" s="737">
        <f t="shared" si="21"/>
        <v>0</v>
      </c>
      <c r="N38" s="737">
        <f t="shared" si="21"/>
        <v>0</v>
      </c>
      <c r="O38" s="737">
        <f t="shared" si="21"/>
        <v>0</v>
      </c>
      <c r="P38" s="737">
        <f t="shared" si="21"/>
        <v>0</v>
      </c>
      <c r="Q38" s="737">
        <f t="shared" si="21"/>
        <v>0</v>
      </c>
      <c r="R38" s="737">
        <f t="shared" si="21"/>
        <v>0</v>
      </c>
      <c r="S38" s="737">
        <f t="shared" si="21"/>
        <v>0</v>
      </c>
      <c r="T38" s="737">
        <f t="shared" si="21"/>
        <v>0</v>
      </c>
      <c r="U38" s="737">
        <f t="shared" si="21"/>
        <v>72</v>
      </c>
      <c r="V38" s="737">
        <f t="shared" si="21"/>
        <v>680</v>
      </c>
      <c r="W38" s="737">
        <f t="shared" si="21"/>
        <v>15760</v>
      </c>
      <c r="X38" s="720"/>
      <c r="Y38" s="720"/>
      <c r="Z38" s="720"/>
      <c r="AA38" s="720"/>
      <c r="AB38" s="720"/>
    </row>
    <row r="39" spans="1:28" ht="27.75" customHeight="1">
      <c r="A39" s="768" t="s">
        <v>790</v>
      </c>
      <c r="B39" s="733" t="s">
        <v>779</v>
      </c>
      <c r="C39" s="744">
        <f>4*(3+2)*15</f>
        <v>300</v>
      </c>
      <c r="D39" s="735">
        <f>250</f>
        <v>250</v>
      </c>
      <c r="E39" s="735">
        <f>C39*D39</f>
        <v>75000</v>
      </c>
      <c r="F39" s="745" t="s">
        <v>779</v>
      </c>
      <c r="G39" s="735">
        <f>40</f>
        <v>40</v>
      </c>
      <c r="H39" s="735">
        <f>D39</f>
        <v>250</v>
      </c>
      <c r="I39" s="735">
        <f>G39*H39</f>
        <v>10000</v>
      </c>
      <c r="J39" s="719"/>
      <c r="K39" s="725"/>
      <c r="L39" s="719"/>
      <c r="M39" s="719"/>
      <c r="N39" s="719"/>
      <c r="O39" s="719"/>
      <c r="P39" s="748">
        <f>0</f>
        <v>0</v>
      </c>
      <c r="Q39" s="748">
        <f>0</f>
        <v>0</v>
      </c>
      <c r="R39" s="751">
        <f>0</f>
        <v>0</v>
      </c>
      <c r="S39" s="751">
        <f>P39+Q39+R39</f>
        <v>0</v>
      </c>
      <c r="T39" s="719"/>
      <c r="U39" s="749">
        <f t="shared" ref="U39:V41" si="22">G39</f>
        <v>40</v>
      </c>
      <c r="V39" s="749">
        <f t="shared" si="22"/>
        <v>250</v>
      </c>
      <c r="W39" s="749">
        <f>U39*V39</f>
        <v>10000</v>
      </c>
      <c r="X39" s="720"/>
      <c r="Y39" s="720"/>
      <c r="Z39" s="720"/>
      <c r="AA39" s="720"/>
      <c r="AB39" s="720"/>
    </row>
    <row r="40" spans="1:28" ht="33" customHeight="1">
      <c r="A40" s="768" t="s">
        <v>791</v>
      </c>
      <c r="B40" s="733" t="s">
        <v>779</v>
      </c>
      <c r="C40" s="744">
        <f>2*8*4</f>
        <v>64</v>
      </c>
      <c r="D40" s="735">
        <f>D35</f>
        <v>180</v>
      </c>
      <c r="E40" s="735">
        <f>C40*D40</f>
        <v>11520</v>
      </c>
      <c r="F40" s="745" t="s">
        <v>779</v>
      </c>
      <c r="G40" s="735">
        <f>C40/2</f>
        <v>32</v>
      </c>
      <c r="H40" s="735">
        <f>D40</f>
        <v>180</v>
      </c>
      <c r="I40" s="735">
        <f>G40*H40</f>
        <v>5760</v>
      </c>
      <c r="J40" s="719"/>
      <c r="K40" s="725"/>
      <c r="L40" s="719"/>
      <c r="M40" s="719"/>
      <c r="N40" s="719"/>
      <c r="O40" s="719"/>
      <c r="P40" s="748">
        <f>0</f>
        <v>0</v>
      </c>
      <c r="Q40" s="748">
        <f>0</f>
        <v>0</v>
      </c>
      <c r="R40" s="751">
        <f>0</f>
        <v>0</v>
      </c>
      <c r="S40" s="751">
        <f>P40+Q40+R40</f>
        <v>0</v>
      </c>
      <c r="T40" s="719"/>
      <c r="U40" s="749">
        <f t="shared" si="22"/>
        <v>32</v>
      </c>
      <c r="V40" s="749">
        <f t="shared" si="22"/>
        <v>180</v>
      </c>
      <c r="W40" s="749">
        <f>U40*V40</f>
        <v>5760</v>
      </c>
      <c r="X40" s="720"/>
      <c r="Y40" s="720"/>
      <c r="Z40" s="720"/>
      <c r="AA40" s="720"/>
      <c r="AB40" s="720"/>
    </row>
    <row r="41" spans="1:28" ht="38.450000000000003" customHeight="1">
      <c r="A41" s="768" t="s">
        <v>792</v>
      </c>
      <c r="B41" s="733" t="s">
        <v>793</v>
      </c>
      <c r="C41" s="744">
        <f>2*20*(1+1+2)</f>
        <v>160</v>
      </c>
      <c r="D41" s="735">
        <f>D39</f>
        <v>250</v>
      </c>
      <c r="E41" s="735">
        <f>D41*C41</f>
        <v>40000</v>
      </c>
      <c r="F41" s="745" t="s">
        <v>779</v>
      </c>
      <c r="G41" s="735">
        <f>40</f>
        <v>40</v>
      </c>
      <c r="H41" s="735">
        <f>D41</f>
        <v>250</v>
      </c>
      <c r="I41" s="735">
        <f>H41*G41</f>
        <v>10000</v>
      </c>
      <c r="J41" s="719"/>
      <c r="K41" s="725"/>
      <c r="L41" s="719"/>
      <c r="M41" s="719"/>
      <c r="N41" s="719"/>
      <c r="O41" s="719"/>
      <c r="P41" s="748">
        <f>0</f>
        <v>0</v>
      </c>
      <c r="Q41" s="748">
        <f>0</f>
        <v>0</v>
      </c>
      <c r="R41" s="751">
        <f>0</f>
        <v>0</v>
      </c>
      <c r="S41" s="751">
        <f>P41+Q41+R41</f>
        <v>0</v>
      </c>
      <c r="T41" s="719"/>
      <c r="U41" s="749">
        <v>0</v>
      </c>
      <c r="V41" s="749">
        <f t="shared" si="22"/>
        <v>250</v>
      </c>
      <c r="W41" s="749">
        <f>U41*V41</f>
        <v>0</v>
      </c>
      <c r="X41" s="720"/>
      <c r="Y41" s="720"/>
      <c r="Z41" s="720"/>
      <c r="AA41" s="720"/>
      <c r="AB41" s="720"/>
    </row>
    <row r="42" spans="1:28" ht="19.5" customHeight="1">
      <c r="A42" s="769" t="s">
        <v>794</v>
      </c>
      <c r="B42" s="770"/>
      <c r="C42" s="771"/>
      <c r="D42" s="772"/>
      <c r="E42" s="772">
        <f>E26+E13+E5</f>
        <v>2689231.0872425581</v>
      </c>
      <c r="F42" s="772"/>
      <c r="G42" s="772"/>
      <c r="H42" s="772"/>
      <c r="I42" s="772">
        <f>I26+I13+I5</f>
        <v>891729.22451469151</v>
      </c>
      <c r="J42" s="772">
        <f t="shared" ref="J42:W42" si="23">J26+J13+J5</f>
        <v>0</v>
      </c>
      <c r="K42" s="772">
        <f t="shared" si="23"/>
        <v>72482.709318889334</v>
      </c>
      <c r="L42" s="772">
        <f t="shared" si="23"/>
        <v>18500.3907</v>
      </c>
      <c r="M42" s="772">
        <f t="shared" si="23"/>
        <v>9924.950887500001</v>
      </c>
      <c r="N42" s="772">
        <f t="shared" si="23"/>
        <v>655.95699999999999</v>
      </c>
      <c r="O42" s="772">
        <f t="shared" si="23"/>
        <v>0</v>
      </c>
      <c r="P42" s="772">
        <f t="shared" si="23"/>
        <v>0</v>
      </c>
      <c r="Q42" s="772">
        <f t="shared" si="23"/>
        <v>102437.52258151068</v>
      </c>
      <c r="R42" s="772">
        <f t="shared" si="23"/>
        <v>144668.57583652588</v>
      </c>
      <c r="S42" s="772">
        <f t="shared" si="23"/>
        <v>247106.09841803653</v>
      </c>
      <c r="T42" s="772">
        <f t="shared" si="23"/>
        <v>0</v>
      </c>
      <c r="U42" s="772">
        <f t="shared" si="23"/>
        <v>480.2</v>
      </c>
      <c r="V42" s="772">
        <f t="shared" si="23"/>
        <v>65740.102160848997</v>
      </c>
      <c r="W42" s="772">
        <f t="shared" si="23"/>
        <v>733724.65332708287</v>
      </c>
      <c r="X42" s="720"/>
      <c r="Y42" s="720"/>
      <c r="Z42" s="720"/>
      <c r="AA42" s="720"/>
      <c r="AB42" s="720"/>
    </row>
    <row r="43" spans="1:28" ht="15.75" customHeight="1">
      <c r="A43" s="773" t="s">
        <v>1300</v>
      </c>
      <c r="B43" s="774"/>
      <c r="C43" s="775"/>
      <c r="D43" s="776"/>
      <c r="E43" s="776"/>
      <c r="F43" s="777"/>
      <c r="G43" s="776"/>
      <c r="H43" s="776"/>
      <c r="I43" s="776"/>
      <c r="J43" s="776"/>
      <c r="K43" s="776"/>
      <c r="L43" s="776"/>
      <c r="M43" s="776"/>
      <c r="N43" s="776"/>
      <c r="O43" s="776"/>
      <c r="P43" s="776"/>
      <c r="Q43" s="776"/>
      <c r="R43" s="776"/>
      <c r="S43" s="776"/>
      <c r="T43" s="776"/>
      <c r="U43" s="776"/>
      <c r="V43" s="776"/>
      <c r="W43" s="776"/>
      <c r="X43" s="720"/>
      <c r="Y43" s="720"/>
      <c r="Z43" s="720"/>
      <c r="AA43" s="720"/>
      <c r="AB43" s="720"/>
    </row>
    <row r="44" spans="1:28" ht="12.75" customHeight="1">
      <c r="A44" s="761"/>
      <c r="B44" s="756"/>
      <c r="C44" s="762"/>
      <c r="D44" s="737"/>
      <c r="E44" s="737"/>
      <c r="F44" s="727"/>
      <c r="G44" s="737"/>
      <c r="H44" s="737"/>
      <c r="I44" s="737"/>
      <c r="J44" s="719"/>
      <c r="K44" s="725"/>
      <c r="L44" s="719"/>
      <c r="M44" s="719"/>
      <c r="N44" s="719"/>
      <c r="O44" s="719"/>
      <c r="P44" s="748"/>
      <c r="Q44" s="748"/>
      <c r="R44" s="719"/>
      <c r="S44" s="719"/>
      <c r="T44" s="719"/>
      <c r="U44" s="719"/>
      <c r="V44" s="719"/>
      <c r="W44" s="719"/>
      <c r="X44" s="720"/>
      <c r="Y44" s="720"/>
      <c r="Z44" s="720"/>
      <c r="AA44" s="720"/>
      <c r="AB44" s="720"/>
    </row>
    <row r="45" spans="1:28" ht="13.5" customHeight="1">
      <c r="A45" s="778" t="s">
        <v>795</v>
      </c>
      <c r="B45" s="756" t="s">
        <v>796</v>
      </c>
      <c r="C45" s="734"/>
      <c r="D45" s="735"/>
      <c r="E45" s="737">
        <f>SUM(E46:E55)</f>
        <v>198000</v>
      </c>
      <c r="F45" s="737"/>
      <c r="G45" s="737"/>
      <c r="H45" s="737"/>
      <c r="I45" s="737">
        <f>SUM(I46:I55)</f>
        <v>78000</v>
      </c>
      <c r="J45" s="737">
        <f t="shared" ref="J45:W45" si="24">SUM(J46:J55)</f>
        <v>0</v>
      </c>
      <c r="K45" s="737">
        <f t="shared" si="24"/>
        <v>0</v>
      </c>
      <c r="L45" s="737">
        <f t="shared" si="24"/>
        <v>0</v>
      </c>
      <c r="M45" s="737">
        <f t="shared" si="24"/>
        <v>0</v>
      </c>
      <c r="N45" s="737">
        <f t="shared" si="24"/>
        <v>0</v>
      </c>
      <c r="O45" s="737">
        <f t="shared" si="24"/>
        <v>0</v>
      </c>
      <c r="P45" s="737">
        <f t="shared" si="24"/>
        <v>0</v>
      </c>
      <c r="Q45" s="737">
        <f t="shared" si="24"/>
        <v>0</v>
      </c>
      <c r="R45" s="737">
        <f t="shared" si="24"/>
        <v>6644.674879603388</v>
      </c>
      <c r="S45" s="737">
        <f t="shared" si="24"/>
        <v>6644.674879603388</v>
      </c>
      <c r="T45" s="737">
        <f t="shared" si="24"/>
        <v>0</v>
      </c>
      <c r="U45" s="737">
        <f t="shared" si="24"/>
        <v>61</v>
      </c>
      <c r="V45" s="737">
        <f t="shared" si="24"/>
        <v>10000</v>
      </c>
      <c r="W45" s="737">
        <f t="shared" si="24"/>
        <v>61000</v>
      </c>
      <c r="X45" s="720"/>
      <c r="Y45" s="720"/>
      <c r="Z45" s="720"/>
      <c r="AA45" s="720"/>
      <c r="AB45" s="720"/>
    </row>
    <row r="46" spans="1:28" ht="23.45" customHeight="1">
      <c r="A46" s="743" t="s">
        <v>797</v>
      </c>
      <c r="B46" s="733" t="s">
        <v>796</v>
      </c>
      <c r="C46" s="734">
        <f>15</f>
        <v>15</v>
      </c>
      <c r="D46" s="735">
        <f>1000</f>
        <v>1000</v>
      </c>
      <c r="E46" s="737">
        <f t="shared" ref="E46:E55" si="25">C46*D46</f>
        <v>15000</v>
      </c>
      <c r="F46" s="736" t="s">
        <v>796</v>
      </c>
      <c r="G46" s="735">
        <f>C46</f>
        <v>15</v>
      </c>
      <c r="H46" s="735">
        <f>D46</f>
        <v>1000</v>
      </c>
      <c r="I46" s="735">
        <f t="shared" ref="I46:I55" si="26">G46*H46</f>
        <v>15000</v>
      </c>
      <c r="J46" s="719"/>
      <c r="K46" s="725"/>
      <c r="L46" s="719"/>
      <c r="M46" s="719"/>
      <c r="N46" s="719"/>
      <c r="O46" s="719"/>
      <c r="P46" s="748">
        <f>0</f>
        <v>0</v>
      </c>
      <c r="Q46" s="748">
        <f>P46</f>
        <v>0</v>
      </c>
      <c r="R46" s="751">
        <f>0</f>
        <v>0</v>
      </c>
      <c r="S46" s="751">
        <f>P46+Q46+R46</f>
        <v>0</v>
      </c>
      <c r="T46" s="719"/>
      <c r="U46" s="749">
        <v>10</v>
      </c>
      <c r="V46" s="749">
        <f>H46</f>
        <v>1000</v>
      </c>
      <c r="W46" s="749">
        <f>U46*V46</f>
        <v>10000</v>
      </c>
      <c r="X46" s="720"/>
      <c r="Y46" s="720"/>
      <c r="Z46" s="720"/>
      <c r="AA46" s="720"/>
      <c r="AB46" s="720"/>
    </row>
    <row r="47" spans="1:28" ht="23.45" customHeight="1">
      <c r="A47" s="743" t="s">
        <v>798</v>
      </c>
      <c r="B47" s="733" t="s">
        <v>796</v>
      </c>
      <c r="C47" s="734">
        <f>C46</f>
        <v>15</v>
      </c>
      <c r="D47" s="735">
        <f>D46</f>
        <v>1000</v>
      </c>
      <c r="E47" s="737">
        <f t="shared" si="25"/>
        <v>15000</v>
      </c>
      <c r="F47" s="736" t="s">
        <v>796</v>
      </c>
      <c r="G47" s="735">
        <f>G46</f>
        <v>15</v>
      </c>
      <c r="H47" s="735">
        <f>H46</f>
        <v>1000</v>
      </c>
      <c r="I47" s="735">
        <f t="shared" si="26"/>
        <v>15000</v>
      </c>
      <c r="J47" s="719"/>
      <c r="K47" s="725"/>
      <c r="L47" s="719"/>
      <c r="M47" s="719"/>
      <c r="N47" s="719"/>
      <c r="O47" s="719"/>
      <c r="P47" s="748">
        <f>0</f>
        <v>0</v>
      </c>
      <c r="Q47" s="748">
        <f t="shared" ref="Q47:Q54" si="27">P47</f>
        <v>0</v>
      </c>
      <c r="R47" s="751">
        <f>0</f>
        <v>0</v>
      </c>
      <c r="S47" s="751">
        <f t="shared" ref="S47:S55" si="28">P47+Q47+R47</f>
        <v>0</v>
      </c>
      <c r="T47" s="719"/>
      <c r="U47" s="749">
        <v>10</v>
      </c>
      <c r="V47" s="749">
        <f t="shared" ref="V47:V55" si="29">H47</f>
        <v>1000</v>
      </c>
      <c r="W47" s="749">
        <f t="shared" ref="W47:W55" si="30">U47*V47</f>
        <v>10000</v>
      </c>
      <c r="X47" s="720"/>
      <c r="Y47" s="720"/>
      <c r="Z47" s="720"/>
      <c r="AA47" s="720"/>
      <c r="AB47" s="720"/>
    </row>
    <row r="48" spans="1:28" ht="31.15" customHeight="1">
      <c r="A48" s="743" t="s">
        <v>799</v>
      </c>
      <c r="B48" s="733" t="s">
        <v>796</v>
      </c>
      <c r="C48" s="734">
        <f>2*2</f>
        <v>4</v>
      </c>
      <c r="D48" s="735">
        <f t="shared" ref="D48:D53" si="31">D47</f>
        <v>1000</v>
      </c>
      <c r="E48" s="737">
        <f t="shared" si="25"/>
        <v>4000</v>
      </c>
      <c r="F48" s="736" t="s">
        <v>796</v>
      </c>
      <c r="G48" s="735">
        <f>C48/2</f>
        <v>2</v>
      </c>
      <c r="H48" s="735">
        <f>D48</f>
        <v>1000</v>
      </c>
      <c r="I48" s="735">
        <f t="shared" si="26"/>
        <v>2000</v>
      </c>
      <c r="J48" s="719"/>
      <c r="K48" s="725"/>
      <c r="L48" s="719"/>
      <c r="M48" s="719"/>
      <c r="N48" s="719"/>
      <c r="O48" s="719"/>
      <c r="P48" s="748">
        <f>0</f>
        <v>0</v>
      </c>
      <c r="Q48" s="748">
        <f t="shared" si="27"/>
        <v>0</v>
      </c>
      <c r="R48" s="751">
        <f>0</f>
        <v>0</v>
      </c>
      <c r="S48" s="751">
        <f t="shared" si="28"/>
        <v>0</v>
      </c>
      <c r="T48" s="719"/>
      <c r="U48" s="749">
        <f t="shared" ref="U48:U55" si="32">G48</f>
        <v>2</v>
      </c>
      <c r="V48" s="749">
        <f t="shared" si="29"/>
        <v>1000</v>
      </c>
      <c r="W48" s="749">
        <f t="shared" si="30"/>
        <v>2000</v>
      </c>
      <c r="X48" s="720"/>
      <c r="Y48" s="720"/>
      <c r="Z48" s="720"/>
      <c r="AA48" s="720"/>
      <c r="AB48" s="720"/>
    </row>
    <row r="49" spans="1:28" ht="35.450000000000003" customHeight="1">
      <c r="A49" s="743" t="s">
        <v>800</v>
      </c>
      <c r="B49" s="733" t="s">
        <v>796</v>
      </c>
      <c r="C49" s="734">
        <f>5*4*4</f>
        <v>80</v>
      </c>
      <c r="D49" s="735">
        <f t="shared" si="31"/>
        <v>1000</v>
      </c>
      <c r="E49" s="737">
        <f t="shared" si="25"/>
        <v>80000</v>
      </c>
      <c r="F49" s="736" t="s">
        <v>796</v>
      </c>
      <c r="G49" s="735">
        <f t="shared" ref="G49:G54" si="33">C49/4</f>
        <v>20</v>
      </c>
      <c r="H49" s="735">
        <f>D49</f>
        <v>1000</v>
      </c>
      <c r="I49" s="735">
        <f t="shared" si="26"/>
        <v>20000</v>
      </c>
      <c r="J49" s="719"/>
      <c r="K49" s="725"/>
      <c r="L49" s="719"/>
      <c r="M49" s="719"/>
      <c r="N49" s="719"/>
      <c r="O49" s="719"/>
      <c r="P49" s="748">
        <f>0</f>
        <v>0</v>
      </c>
      <c r="Q49" s="748">
        <f t="shared" si="27"/>
        <v>0</v>
      </c>
      <c r="R49" s="751">
        <f>0</f>
        <v>0</v>
      </c>
      <c r="S49" s="751">
        <f t="shared" si="28"/>
        <v>0</v>
      </c>
      <c r="T49" s="719"/>
      <c r="U49" s="749">
        <v>10</v>
      </c>
      <c r="V49" s="749">
        <f t="shared" si="29"/>
        <v>1000</v>
      </c>
      <c r="W49" s="749">
        <f t="shared" si="30"/>
        <v>10000</v>
      </c>
      <c r="X49" s="720"/>
      <c r="Y49" s="720"/>
      <c r="Z49" s="720"/>
      <c r="AA49" s="720"/>
      <c r="AB49" s="720"/>
    </row>
    <row r="50" spans="1:28" ht="32.450000000000003" customHeight="1">
      <c r="A50" s="743" t="s">
        <v>801</v>
      </c>
      <c r="B50" s="733" t="s">
        <v>796</v>
      </c>
      <c r="C50" s="734">
        <f>2*4</f>
        <v>8</v>
      </c>
      <c r="D50" s="735">
        <f t="shared" si="31"/>
        <v>1000</v>
      </c>
      <c r="E50" s="737">
        <f t="shared" si="25"/>
        <v>8000</v>
      </c>
      <c r="F50" s="736" t="s">
        <v>796</v>
      </c>
      <c r="G50" s="735">
        <f t="shared" si="33"/>
        <v>2</v>
      </c>
      <c r="H50" s="735">
        <f>D50</f>
        <v>1000</v>
      </c>
      <c r="I50" s="735">
        <f t="shared" si="26"/>
        <v>2000</v>
      </c>
      <c r="J50" s="719"/>
      <c r="K50" s="725"/>
      <c r="L50" s="719"/>
      <c r="M50" s="719"/>
      <c r="N50" s="719"/>
      <c r="O50" s="719"/>
      <c r="P50" s="748">
        <f>0</f>
        <v>0</v>
      </c>
      <c r="Q50" s="748">
        <f t="shared" si="27"/>
        <v>0</v>
      </c>
      <c r="R50" s="751">
        <f>0</f>
        <v>0</v>
      </c>
      <c r="S50" s="751">
        <f t="shared" si="28"/>
        <v>0</v>
      </c>
      <c r="T50" s="719"/>
      <c r="U50" s="749">
        <f t="shared" si="32"/>
        <v>2</v>
      </c>
      <c r="V50" s="749">
        <f t="shared" si="29"/>
        <v>1000</v>
      </c>
      <c r="W50" s="749">
        <f t="shared" si="30"/>
        <v>2000</v>
      </c>
      <c r="X50" s="720"/>
      <c r="Y50" s="720"/>
      <c r="Z50" s="720"/>
      <c r="AA50" s="720"/>
      <c r="AB50" s="720"/>
    </row>
    <row r="51" spans="1:28" ht="24.6" customHeight="1">
      <c r="A51" s="743" t="s">
        <v>802</v>
      </c>
      <c r="B51" s="733" t="s">
        <v>796</v>
      </c>
      <c r="C51" s="734">
        <f>4*2</f>
        <v>8</v>
      </c>
      <c r="D51" s="735">
        <f t="shared" si="31"/>
        <v>1000</v>
      </c>
      <c r="E51" s="737">
        <f t="shared" si="25"/>
        <v>8000</v>
      </c>
      <c r="F51" s="736" t="s">
        <v>796</v>
      </c>
      <c r="G51" s="735">
        <f t="shared" si="33"/>
        <v>2</v>
      </c>
      <c r="H51" s="735">
        <f>H50</f>
        <v>1000</v>
      </c>
      <c r="I51" s="735">
        <f t="shared" si="26"/>
        <v>2000</v>
      </c>
      <c r="J51" s="719"/>
      <c r="K51" s="725"/>
      <c r="L51" s="719"/>
      <c r="M51" s="719"/>
      <c r="N51" s="719"/>
      <c r="O51" s="719"/>
      <c r="P51" s="748">
        <f>0</f>
        <v>0</v>
      </c>
      <c r="Q51" s="748">
        <f t="shared" si="27"/>
        <v>0</v>
      </c>
      <c r="R51" s="751">
        <f>0</f>
        <v>0</v>
      </c>
      <c r="S51" s="751">
        <f t="shared" si="28"/>
        <v>0</v>
      </c>
      <c r="T51" s="719"/>
      <c r="U51" s="749">
        <f t="shared" si="32"/>
        <v>2</v>
      </c>
      <c r="V51" s="749">
        <f t="shared" si="29"/>
        <v>1000</v>
      </c>
      <c r="W51" s="749">
        <f t="shared" si="30"/>
        <v>2000</v>
      </c>
      <c r="X51" s="720"/>
      <c r="Y51" s="720"/>
      <c r="Z51" s="720"/>
      <c r="AA51" s="720"/>
      <c r="AB51" s="720"/>
    </row>
    <row r="52" spans="1:28" ht="27" customHeight="1">
      <c r="A52" s="768" t="s">
        <v>239</v>
      </c>
      <c r="B52" s="733" t="s">
        <v>796</v>
      </c>
      <c r="C52" s="734">
        <f>3*4</f>
        <v>12</v>
      </c>
      <c r="D52" s="735">
        <f t="shared" si="31"/>
        <v>1000</v>
      </c>
      <c r="E52" s="737">
        <f t="shared" si="25"/>
        <v>12000</v>
      </c>
      <c r="F52" s="736" t="s">
        <v>796</v>
      </c>
      <c r="G52" s="735">
        <f t="shared" si="33"/>
        <v>3</v>
      </c>
      <c r="H52" s="735">
        <f>D52</f>
        <v>1000</v>
      </c>
      <c r="I52" s="735">
        <f t="shared" si="26"/>
        <v>3000</v>
      </c>
      <c r="J52" s="719"/>
      <c r="K52" s="725"/>
      <c r="L52" s="719"/>
      <c r="M52" s="719"/>
      <c r="N52" s="719"/>
      <c r="O52" s="719"/>
      <c r="P52" s="748">
        <f>0</f>
        <v>0</v>
      </c>
      <c r="Q52" s="748">
        <f t="shared" si="27"/>
        <v>0</v>
      </c>
      <c r="R52" s="735">
        <f>'[2]Bank XOF'!G121/655.957+'[2]Bank XOF'!G170/655.957+'[2]Bank XOF'!G216/655.957</f>
        <v>6644.674879603388</v>
      </c>
      <c r="S52" s="748">
        <f t="shared" si="28"/>
        <v>6644.674879603388</v>
      </c>
      <c r="T52" s="719"/>
      <c r="U52" s="749">
        <f>G52*2</f>
        <v>6</v>
      </c>
      <c r="V52" s="749">
        <f t="shared" si="29"/>
        <v>1000</v>
      </c>
      <c r="W52" s="749">
        <f t="shared" si="30"/>
        <v>6000</v>
      </c>
      <c r="X52" s="720"/>
      <c r="Y52" s="720"/>
      <c r="Z52" s="720"/>
      <c r="AA52" s="720"/>
      <c r="AB52" s="720"/>
    </row>
    <row r="53" spans="1:28" ht="27.6" customHeight="1">
      <c r="A53" s="768" t="s">
        <v>803</v>
      </c>
      <c r="B53" s="733" t="s">
        <v>796</v>
      </c>
      <c r="C53" s="734">
        <f>2*2*2</f>
        <v>8</v>
      </c>
      <c r="D53" s="735">
        <f t="shared" si="31"/>
        <v>1000</v>
      </c>
      <c r="E53" s="737">
        <f t="shared" si="25"/>
        <v>8000</v>
      </c>
      <c r="F53" s="736" t="s">
        <v>796</v>
      </c>
      <c r="G53" s="735">
        <f t="shared" si="33"/>
        <v>2</v>
      </c>
      <c r="H53" s="735">
        <f>D53</f>
        <v>1000</v>
      </c>
      <c r="I53" s="735">
        <f t="shared" si="26"/>
        <v>2000</v>
      </c>
      <c r="J53" s="719"/>
      <c r="K53" s="725"/>
      <c r="L53" s="719"/>
      <c r="M53" s="719"/>
      <c r="N53" s="719"/>
      <c r="O53" s="719"/>
      <c r="P53" s="748">
        <f>0</f>
        <v>0</v>
      </c>
      <c r="Q53" s="748">
        <f t="shared" si="27"/>
        <v>0</v>
      </c>
      <c r="R53" s="751">
        <f>0</f>
        <v>0</v>
      </c>
      <c r="S53" s="751">
        <f t="shared" si="28"/>
        <v>0</v>
      </c>
      <c r="T53" s="719"/>
      <c r="U53" s="749">
        <f t="shared" si="32"/>
        <v>2</v>
      </c>
      <c r="V53" s="749">
        <f t="shared" si="29"/>
        <v>1000</v>
      </c>
      <c r="W53" s="749">
        <f t="shared" si="30"/>
        <v>2000</v>
      </c>
      <c r="X53" s="720"/>
      <c r="Y53" s="720"/>
      <c r="Z53" s="720"/>
      <c r="AA53" s="720"/>
      <c r="AB53" s="720"/>
    </row>
    <row r="54" spans="1:28" ht="19.899999999999999" customHeight="1">
      <c r="A54" s="768" t="s">
        <v>804</v>
      </c>
      <c r="B54" s="733" t="s">
        <v>805</v>
      </c>
      <c r="C54" s="734">
        <f>3*3*4</f>
        <v>36</v>
      </c>
      <c r="D54" s="735">
        <f>1000</f>
        <v>1000</v>
      </c>
      <c r="E54" s="737">
        <f t="shared" si="25"/>
        <v>36000</v>
      </c>
      <c r="F54" s="736" t="s">
        <v>805</v>
      </c>
      <c r="G54" s="735">
        <f t="shared" si="33"/>
        <v>9</v>
      </c>
      <c r="H54" s="735">
        <f>D54</f>
        <v>1000</v>
      </c>
      <c r="I54" s="735">
        <f t="shared" si="26"/>
        <v>9000</v>
      </c>
      <c r="J54" s="719"/>
      <c r="K54" s="725"/>
      <c r="L54" s="719"/>
      <c r="M54" s="719"/>
      <c r="N54" s="719"/>
      <c r="O54" s="719"/>
      <c r="P54" s="748">
        <f>0</f>
        <v>0</v>
      </c>
      <c r="Q54" s="748">
        <f t="shared" si="27"/>
        <v>0</v>
      </c>
      <c r="R54" s="751">
        <f>0</f>
        <v>0</v>
      </c>
      <c r="S54" s="751">
        <f t="shared" si="28"/>
        <v>0</v>
      </c>
      <c r="T54" s="719"/>
      <c r="U54" s="749">
        <f t="shared" si="32"/>
        <v>9</v>
      </c>
      <c r="V54" s="749">
        <f t="shared" si="29"/>
        <v>1000</v>
      </c>
      <c r="W54" s="749">
        <f t="shared" si="30"/>
        <v>9000</v>
      </c>
      <c r="X54" s="720"/>
      <c r="Y54" s="720"/>
      <c r="Z54" s="720"/>
      <c r="AA54" s="720"/>
      <c r="AB54" s="720"/>
    </row>
    <row r="55" spans="1:28" ht="29.45" customHeight="1">
      <c r="A55" s="768" t="s">
        <v>806</v>
      </c>
      <c r="B55" s="733" t="s">
        <v>805</v>
      </c>
      <c r="C55" s="734">
        <f>12</f>
        <v>12</v>
      </c>
      <c r="D55" s="735">
        <f>1000</f>
        <v>1000</v>
      </c>
      <c r="E55" s="737">
        <f t="shared" si="25"/>
        <v>12000</v>
      </c>
      <c r="F55" s="736" t="s">
        <v>807</v>
      </c>
      <c r="G55" s="735">
        <f>C55/4+5</f>
        <v>8</v>
      </c>
      <c r="H55" s="735">
        <f>D55</f>
        <v>1000</v>
      </c>
      <c r="I55" s="735">
        <f t="shared" si="26"/>
        <v>8000</v>
      </c>
      <c r="J55" s="719"/>
      <c r="K55" s="725"/>
      <c r="L55" s="719"/>
      <c r="M55" s="719"/>
      <c r="N55" s="719"/>
      <c r="O55" s="719"/>
      <c r="P55" s="748">
        <f>0</f>
        <v>0</v>
      </c>
      <c r="Q55" s="748">
        <f>0</f>
        <v>0</v>
      </c>
      <c r="R55" s="751">
        <f>0</f>
        <v>0</v>
      </c>
      <c r="S55" s="751">
        <f t="shared" si="28"/>
        <v>0</v>
      </c>
      <c r="T55" s="719"/>
      <c r="U55" s="749">
        <f t="shared" si="32"/>
        <v>8</v>
      </c>
      <c r="V55" s="749">
        <f t="shared" si="29"/>
        <v>1000</v>
      </c>
      <c r="W55" s="749">
        <f t="shared" si="30"/>
        <v>8000</v>
      </c>
      <c r="X55" s="720"/>
      <c r="Y55" s="720"/>
      <c r="Z55" s="720"/>
      <c r="AA55" s="720"/>
      <c r="AB55" s="720"/>
    </row>
    <row r="56" spans="1:28" ht="12.75" customHeight="1">
      <c r="A56" s="768"/>
      <c r="B56" s="733"/>
      <c r="C56" s="734"/>
      <c r="D56" s="735"/>
      <c r="E56" s="737"/>
      <c r="F56" s="736"/>
      <c r="G56" s="735"/>
      <c r="H56" s="735"/>
      <c r="I56" s="737"/>
      <c r="J56" s="719"/>
      <c r="K56" s="725"/>
      <c r="L56" s="719"/>
      <c r="M56" s="719"/>
      <c r="N56" s="719"/>
      <c r="O56" s="719"/>
      <c r="P56" s="748"/>
      <c r="Q56" s="748"/>
      <c r="R56" s="719"/>
      <c r="S56" s="719"/>
      <c r="T56" s="719"/>
      <c r="U56" s="749"/>
      <c r="V56" s="749"/>
      <c r="W56" s="749"/>
      <c r="X56" s="720"/>
      <c r="Y56" s="720"/>
      <c r="Z56" s="720"/>
      <c r="AA56" s="720"/>
      <c r="AB56" s="720"/>
    </row>
    <row r="57" spans="1:28" ht="13.5" customHeight="1">
      <c r="A57" s="778" t="s">
        <v>808</v>
      </c>
      <c r="B57" s="733"/>
      <c r="C57" s="734"/>
      <c r="D57" s="735"/>
      <c r="E57" s="737">
        <f>E59+E64</f>
        <v>147400</v>
      </c>
      <c r="F57" s="737"/>
      <c r="G57" s="737"/>
      <c r="H57" s="737"/>
      <c r="I57" s="737">
        <f>I59+I64</f>
        <v>46850</v>
      </c>
      <c r="J57" s="737">
        <f t="shared" ref="J57:W57" si="34">J59+J64</f>
        <v>0</v>
      </c>
      <c r="K57" s="737">
        <f t="shared" si="34"/>
        <v>0</v>
      </c>
      <c r="L57" s="737">
        <f t="shared" si="34"/>
        <v>0</v>
      </c>
      <c r="M57" s="737">
        <f t="shared" si="34"/>
        <v>0</v>
      </c>
      <c r="N57" s="737">
        <f t="shared" si="34"/>
        <v>0</v>
      </c>
      <c r="O57" s="737">
        <f t="shared" si="34"/>
        <v>0</v>
      </c>
      <c r="P57" s="737">
        <f t="shared" si="34"/>
        <v>0</v>
      </c>
      <c r="Q57" s="737">
        <f t="shared" si="34"/>
        <v>77.939560062626057</v>
      </c>
      <c r="R57" s="737">
        <f t="shared" si="34"/>
        <v>1472.5065819863194</v>
      </c>
      <c r="S57" s="737">
        <f t="shared" si="34"/>
        <v>1550.4461420489454</v>
      </c>
      <c r="T57" s="737">
        <f t="shared" si="34"/>
        <v>0</v>
      </c>
      <c r="U57" s="737">
        <f t="shared" si="34"/>
        <v>101.5</v>
      </c>
      <c r="V57" s="737">
        <f t="shared" si="34"/>
        <v>3100</v>
      </c>
      <c r="W57" s="737">
        <f t="shared" si="34"/>
        <v>30850</v>
      </c>
      <c r="X57" s="720"/>
      <c r="Y57" s="720"/>
      <c r="Z57" s="720"/>
      <c r="AA57" s="720"/>
      <c r="AB57" s="720"/>
    </row>
    <row r="58" spans="1:28" ht="12.75" customHeight="1">
      <c r="A58" s="778"/>
      <c r="B58" s="757"/>
      <c r="C58" s="719"/>
      <c r="D58" s="719"/>
      <c r="E58" s="719"/>
      <c r="F58" s="719"/>
      <c r="G58" s="751"/>
      <c r="H58" s="719"/>
      <c r="I58" s="719"/>
      <c r="J58" s="719"/>
      <c r="K58" s="725"/>
      <c r="L58" s="719"/>
      <c r="M58" s="719"/>
      <c r="N58" s="719"/>
      <c r="O58" s="719"/>
      <c r="P58" s="748"/>
      <c r="Q58" s="748"/>
      <c r="R58" s="779"/>
      <c r="S58" s="719"/>
      <c r="T58" s="719"/>
      <c r="U58" s="719"/>
      <c r="V58" s="719"/>
      <c r="W58" s="719"/>
      <c r="X58" s="720"/>
      <c r="Y58" s="720"/>
      <c r="Z58" s="720"/>
      <c r="AA58" s="720"/>
      <c r="AB58" s="720"/>
    </row>
    <row r="59" spans="1:28" ht="25.5" customHeight="1">
      <c r="A59" s="778" t="s">
        <v>809</v>
      </c>
      <c r="B59" s="733"/>
      <c r="C59" s="734"/>
      <c r="D59" s="735"/>
      <c r="E59" s="737">
        <f>SUM(E60:E62)</f>
        <v>116000</v>
      </c>
      <c r="F59" s="737"/>
      <c r="G59" s="737"/>
      <c r="H59" s="737"/>
      <c r="I59" s="737">
        <f>SUM(I60:I62)</f>
        <v>39000</v>
      </c>
      <c r="J59" s="737">
        <f t="shared" ref="J59:W59" si="35">SUM(J60:J62)</f>
        <v>0</v>
      </c>
      <c r="K59" s="737">
        <f t="shared" si="35"/>
        <v>0</v>
      </c>
      <c r="L59" s="737">
        <f t="shared" si="35"/>
        <v>0</v>
      </c>
      <c r="M59" s="737">
        <f t="shared" si="35"/>
        <v>0</v>
      </c>
      <c r="N59" s="737">
        <f t="shared" si="35"/>
        <v>0</v>
      </c>
      <c r="O59" s="737">
        <f t="shared" si="35"/>
        <v>0</v>
      </c>
      <c r="P59" s="737">
        <f t="shared" si="35"/>
        <v>0</v>
      </c>
      <c r="Q59" s="737">
        <f t="shared" si="35"/>
        <v>0</v>
      </c>
      <c r="R59" s="737">
        <f t="shared" si="35"/>
        <v>0</v>
      </c>
      <c r="S59" s="737">
        <f t="shared" si="35"/>
        <v>0</v>
      </c>
      <c r="T59" s="737">
        <f t="shared" si="35"/>
        <v>0</v>
      </c>
      <c r="U59" s="737">
        <f t="shared" si="35"/>
        <v>23</v>
      </c>
      <c r="V59" s="737">
        <f t="shared" si="35"/>
        <v>3000</v>
      </c>
      <c r="W59" s="737">
        <f t="shared" si="35"/>
        <v>23000</v>
      </c>
      <c r="X59" s="720"/>
      <c r="Y59" s="720"/>
      <c r="Z59" s="720"/>
      <c r="AA59" s="720"/>
      <c r="AB59" s="720"/>
    </row>
    <row r="60" spans="1:28" ht="27.75" customHeight="1">
      <c r="A60" s="768" t="s">
        <v>810</v>
      </c>
      <c r="B60" s="733" t="s">
        <v>796</v>
      </c>
      <c r="C60" s="734">
        <f>4*15</f>
        <v>60</v>
      </c>
      <c r="D60" s="735">
        <f>D53</f>
        <v>1000</v>
      </c>
      <c r="E60" s="735">
        <f>C60*D60</f>
        <v>60000</v>
      </c>
      <c r="F60" s="736" t="s">
        <v>796</v>
      </c>
      <c r="G60" s="735">
        <f>C60/4</f>
        <v>15</v>
      </c>
      <c r="H60" s="735">
        <f>D60</f>
        <v>1000</v>
      </c>
      <c r="I60" s="735">
        <f>G60*H60</f>
        <v>15000</v>
      </c>
      <c r="J60" s="719"/>
      <c r="K60" s="725"/>
      <c r="L60" s="719"/>
      <c r="M60" s="719"/>
      <c r="N60" s="719"/>
      <c r="O60" s="719"/>
      <c r="P60" s="748">
        <f>0</f>
        <v>0</v>
      </c>
      <c r="Q60" s="748">
        <f>0</f>
        <v>0</v>
      </c>
      <c r="R60" s="780">
        <f>0</f>
        <v>0</v>
      </c>
      <c r="S60" s="751">
        <f>P60+Q60+R60</f>
        <v>0</v>
      </c>
      <c r="T60" s="719"/>
      <c r="U60" s="749">
        <f t="shared" ref="U60:V62" si="36">G60</f>
        <v>15</v>
      </c>
      <c r="V60" s="749">
        <f t="shared" si="36"/>
        <v>1000</v>
      </c>
      <c r="W60" s="749">
        <f>U60*V60</f>
        <v>15000</v>
      </c>
      <c r="X60" s="720"/>
      <c r="Y60" s="720"/>
      <c r="Z60" s="720"/>
      <c r="AA60" s="720"/>
      <c r="AB60" s="720"/>
    </row>
    <row r="61" spans="1:28" ht="31.5" customHeight="1">
      <c r="A61" s="768" t="s">
        <v>811</v>
      </c>
      <c r="B61" s="733" t="s">
        <v>796</v>
      </c>
      <c r="C61" s="734">
        <f>2*8</f>
        <v>16</v>
      </c>
      <c r="D61" s="735">
        <f>D60</f>
        <v>1000</v>
      </c>
      <c r="E61" s="735">
        <f>C61*D61</f>
        <v>16000</v>
      </c>
      <c r="F61" s="736" t="s">
        <v>796</v>
      </c>
      <c r="G61" s="735">
        <f>C61/2</f>
        <v>8</v>
      </c>
      <c r="H61" s="735">
        <f>D61</f>
        <v>1000</v>
      </c>
      <c r="I61" s="735">
        <f>G61*H61</f>
        <v>8000</v>
      </c>
      <c r="J61" s="719"/>
      <c r="K61" s="725"/>
      <c r="L61" s="719"/>
      <c r="M61" s="719"/>
      <c r="N61" s="719"/>
      <c r="O61" s="719"/>
      <c r="P61" s="748">
        <f>0</f>
        <v>0</v>
      </c>
      <c r="Q61" s="748">
        <f>0</f>
        <v>0</v>
      </c>
      <c r="R61" s="780">
        <f>0</f>
        <v>0</v>
      </c>
      <c r="S61" s="751">
        <f>P61+Q61+R61</f>
        <v>0</v>
      </c>
      <c r="T61" s="719"/>
      <c r="U61" s="749">
        <f t="shared" si="36"/>
        <v>8</v>
      </c>
      <c r="V61" s="749">
        <f t="shared" si="36"/>
        <v>1000</v>
      </c>
      <c r="W61" s="749">
        <f>U61*V61</f>
        <v>8000</v>
      </c>
      <c r="X61" s="720"/>
      <c r="Y61" s="720"/>
      <c r="Z61" s="720"/>
      <c r="AA61" s="720"/>
      <c r="AB61" s="720"/>
    </row>
    <row r="62" spans="1:28" ht="43.9" customHeight="1">
      <c r="A62" s="768" t="s">
        <v>812</v>
      </c>
      <c r="B62" s="733" t="s">
        <v>796</v>
      </c>
      <c r="C62" s="734">
        <f>20*2</f>
        <v>40</v>
      </c>
      <c r="D62" s="735">
        <f>D61</f>
        <v>1000</v>
      </c>
      <c r="E62" s="735">
        <f>C62*D62</f>
        <v>40000</v>
      </c>
      <c r="F62" s="736" t="s">
        <v>796</v>
      </c>
      <c r="G62" s="735">
        <v>16</v>
      </c>
      <c r="H62" s="735">
        <f>D62</f>
        <v>1000</v>
      </c>
      <c r="I62" s="735">
        <f>G62*H62</f>
        <v>16000</v>
      </c>
      <c r="J62" s="719"/>
      <c r="K62" s="725"/>
      <c r="L62" s="719"/>
      <c r="M62" s="719"/>
      <c r="N62" s="719"/>
      <c r="O62" s="719"/>
      <c r="P62" s="748">
        <f>0</f>
        <v>0</v>
      </c>
      <c r="Q62" s="748">
        <f>0</f>
        <v>0</v>
      </c>
      <c r="R62" s="748">
        <f>0</f>
        <v>0</v>
      </c>
      <c r="S62" s="751">
        <f>P62+Q62+R62</f>
        <v>0</v>
      </c>
      <c r="T62" s="719"/>
      <c r="U62" s="749">
        <f>0</f>
        <v>0</v>
      </c>
      <c r="V62" s="749">
        <f t="shared" si="36"/>
        <v>1000</v>
      </c>
      <c r="W62" s="749">
        <f>U62*V62</f>
        <v>0</v>
      </c>
      <c r="X62" s="720"/>
      <c r="Y62" s="720"/>
      <c r="Z62" s="720"/>
      <c r="AA62" s="720"/>
      <c r="AB62" s="720"/>
    </row>
    <row r="63" spans="1:28" ht="12.75" customHeight="1">
      <c r="A63" s="768"/>
      <c r="B63" s="733"/>
      <c r="C63" s="734"/>
      <c r="D63" s="735"/>
      <c r="E63" s="737"/>
      <c r="F63" s="736"/>
      <c r="G63" s="735"/>
      <c r="H63" s="735"/>
      <c r="I63" s="737"/>
      <c r="J63" s="719"/>
      <c r="K63" s="725"/>
      <c r="L63" s="719"/>
      <c r="M63" s="719"/>
      <c r="N63" s="719"/>
      <c r="O63" s="719"/>
      <c r="P63" s="748"/>
      <c r="Q63" s="748"/>
      <c r="R63" s="779"/>
      <c r="S63" s="719"/>
      <c r="T63" s="719"/>
      <c r="U63" s="719"/>
      <c r="V63" s="719"/>
      <c r="W63" s="719"/>
      <c r="X63" s="720"/>
      <c r="Y63" s="720"/>
      <c r="Z63" s="720"/>
      <c r="AA63" s="720"/>
      <c r="AB63" s="720"/>
    </row>
    <row r="64" spans="1:28" ht="13.5" customHeight="1">
      <c r="A64" s="778" t="s">
        <v>813</v>
      </c>
      <c r="B64" s="733"/>
      <c r="C64" s="734"/>
      <c r="D64" s="735"/>
      <c r="E64" s="737">
        <f>E65</f>
        <v>31400</v>
      </c>
      <c r="F64" s="736"/>
      <c r="G64" s="735"/>
      <c r="H64" s="735"/>
      <c r="I64" s="737">
        <f>I65</f>
        <v>7850</v>
      </c>
      <c r="J64" s="737">
        <f t="shared" ref="J64:W64" si="37">J65</f>
        <v>0</v>
      </c>
      <c r="K64" s="737">
        <f t="shared" si="37"/>
        <v>0</v>
      </c>
      <c r="L64" s="737">
        <f t="shared" si="37"/>
        <v>0</v>
      </c>
      <c r="M64" s="737">
        <f t="shared" si="37"/>
        <v>0</v>
      </c>
      <c r="N64" s="737">
        <f t="shared" si="37"/>
        <v>0</v>
      </c>
      <c r="O64" s="737">
        <f t="shared" si="37"/>
        <v>0</v>
      </c>
      <c r="P64" s="737">
        <f t="shared" si="37"/>
        <v>0</v>
      </c>
      <c r="Q64" s="737">
        <f t="shared" si="37"/>
        <v>77.939560062626057</v>
      </c>
      <c r="R64" s="737">
        <f t="shared" si="37"/>
        <v>1472.5065819863194</v>
      </c>
      <c r="S64" s="737">
        <f t="shared" si="37"/>
        <v>1550.4461420489454</v>
      </c>
      <c r="T64" s="737">
        <f t="shared" si="37"/>
        <v>0</v>
      </c>
      <c r="U64" s="737">
        <f t="shared" si="37"/>
        <v>78.5</v>
      </c>
      <c r="V64" s="737">
        <f t="shared" si="37"/>
        <v>100</v>
      </c>
      <c r="W64" s="737">
        <f t="shared" si="37"/>
        <v>7850</v>
      </c>
      <c r="X64" s="720"/>
      <c r="Y64" s="720"/>
      <c r="Z64" s="720"/>
      <c r="AA64" s="720"/>
      <c r="AB64" s="720"/>
    </row>
    <row r="65" spans="1:28" ht="13.5" customHeight="1">
      <c r="A65" s="768" t="s">
        <v>100</v>
      </c>
      <c r="B65" s="733"/>
      <c r="C65" s="734">
        <f>SUM(C46:C62)</f>
        <v>314</v>
      </c>
      <c r="D65" s="735">
        <f>100</f>
        <v>100</v>
      </c>
      <c r="E65" s="735">
        <f>C65*D65</f>
        <v>31400</v>
      </c>
      <c r="F65" s="736"/>
      <c r="G65" s="735">
        <f>C65/4</f>
        <v>78.5</v>
      </c>
      <c r="H65" s="735">
        <f>D65</f>
        <v>100</v>
      </c>
      <c r="I65" s="735">
        <f>G65*H65</f>
        <v>7850</v>
      </c>
      <c r="J65" s="719"/>
      <c r="K65" s="725"/>
      <c r="L65" s="719"/>
      <c r="M65" s="719"/>
      <c r="N65" s="719"/>
      <c r="O65" s="719"/>
      <c r="P65" s="748">
        <f>0</f>
        <v>0</v>
      </c>
      <c r="Q65" s="748">
        <f>'[2]Bank XOF'!G63/655.957</f>
        <v>77.939560062626057</v>
      </c>
      <c r="R65" s="780">
        <f>('[2]Bank XOF'!G112+'[2]Bank XOF'!G123)/655.957+'[2]Bank XOF'!G168/655.957+[2]Details!C72+[2]Details!C80</f>
        <v>1472.5065819863194</v>
      </c>
      <c r="S65" s="751">
        <f>P65+Q65+R65</f>
        <v>1550.4461420489454</v>
      </c>
      <c r="T65" s="719"/>
      <c r="U65" s="751">
        <f>G65</f>
        <v>78.5</v>
      </c>
      <c r="V65" s="751">
        <f>H65</f>
        <v>100</v>
      </c>
      <c r="W65" s="719">
        <f>U65*V65</f>
        <v>7850</v>
      </c>
      <c r="X65" s="720"/>
      <c r="Y65" s="720"/>
      <c r="Z65" s="720"/>
      <c r="AA65" s="720"/>
      <c r="AB65" s="720"/>
    </row>
    <row r="66" spans="1:28" ht="12.75" customHeight="1">
      <c r="A66" s="768"/>
      <c r="B66" s="733"/>
      <c r="C66" s="734"/>
      <c r="D66" s="735"/>
      <c r="E66" s="737"/>
      <c r="F66" s="736"/>
      <c r="G66" s="735"/>
      <c r="H66" s="735"/>
      <c r="I66" s="737"/>
      <c r="J66" s="719"/>
      <c r="K66" s="725"/>
      <c r="L66" s="719"/>
      <c r="M66" s="719"/>
      <c r="N66" s="719"/>
      <c r="O66" s="719"/>
      <c r="P66" s="748"/>
      <c r="Q66" s="748"/>
      <c r="R66" s="779"/>
      <c r="S66" s="719"/>
      <c r="T66" s="719"/>
      <c r="U66" s="719"/>
      <c r="V66" s="719"/>
      <c r="W66" s="719"/>
      <c r="X66" s="720"/>
      <c r="Y66" s="720"/>
      <c r="Z66" s="720"/>
      <c r="AA66" s="720"/>
      <c r="AB66" s="720"/>
    </row>
    <row r="67" spans="1:28" ht="13.5" customHeight="1">
      <c r="A67" s="778" t="s">
        <v>814</v>
      </c>
      <c r="B67" s="756"/>
      <c r="C67" s="781"/>
      <c r="D67" s="737"/>
      <c r="E67" s="737">
        <f>E68</f>
        <v>20000</v>
      </c>
      <c r="F67" s="727"/>
      <c r="G67" s="737"/>
      <c r="H67" s="737"/>
      <c r="I67" s="737">
        <f>I68</f>
        <v>10000</v>
      </c>
      <c r="J67" s="737">
        <f t="shared" ref="J67:W67" si="38">J68</f>
        <v>0</v>
      </c>
      <c r="K67" s="737">
        <f t="shared" si="38"/>
        <v>0</v>
      </c>
      <c r="L67" s="737">
        <f t="shared" si="38"/>
        <v>0</v>
      </c>
      <c r="M67" s="737">
        <f t="shared" si="38"/>
        <v>0</v>
      </c>
      <c r="N67" s="737">
        <f t="shared" si="38"/>
        <v>0</v>
      </c>
      <c r="O67" s="737">
        <f t="shared" si="38"/>
        <v>0</v>
      </c>
      <c r="P67" s="737">
        <f t="shared" si="38"/>
        <v>0</v>
      </c>
      <c r="Q67" s="737">
        <f t="shared" si="38"/>
        <v>3156.5498958010967</v>
      </c>
      <c r="R67" s="737">
        <f t="shared" si="38"/>
        <v>3380.6377552187114</v>
      </c>
      <c r="S67" s="737">
        <f t="shared" si="38"/>
        <v>6537.1876510198081</v>
      </c>
      <c r="T67" s="737">
        <f t="shared" si="38"/>
        <v>0</v>
      </c>
      <c r="U67" s="737">
        <f t="shared" si="38"/>
        <v>10</v>
      </c>
      <c r="V67" s="737">
        <f t="shared" si="38"/>
        <v>1000</v>
      </c>
      <c r="W67" s="737">
        <f t="shared" si="38"/>
        <v>10000</v>
      </c>
      <c r="X67" s="782"/>
      <c r="Y67" s="782"/>
      <c r="Z67" s="782"/>
      <c r="AA67" s="782"/>
      <c r="AB67" s="782"/>
    </row>
    <row r="68" spans="1:28" ht="30" customHeight="1">
      <c r="A68" s="768" t="s">
        <v>104</v>
      </c>
      <c r="B68" s="733" t="s">
        <v>815</v>
      </c>
      <c r="C68" s="744">
        <v>20</v>
      </c>
      <c r="D68" s="735">
        <f>1000</f>
        <v>1000</v>
      </c>
      <c r="E68" s="735">
        <f>C68*D68</f>
        <v>20000</v>
      </c>
      <c r="F68" s="736"/>
      <c r="G68" s="735">
        <f>20/2</f>
        <v>10</v>
      </c>
      <c r="H68" s="737">
        <f>D68</f>
        <v>1000</v>
      </c>
      <c r="I68" s="735">
        <f>G68*H68</f>
        <v>10000</v>
      </c>
      <c r="J68" s="719"/>
      <c r="K68" s="725"/>
      <c r="L68" s="719"/>
      <c r="M68" s="719"/>
      <c r="N68" s="719"/>
      <c r="O68" s="719"/>
      <c r="P68" s="748">
        <f>0</f>
        <v>0</v>
      </c>
      <c r="Q68" s="748">
        <f>'[2]Bank XOF'!G64/655.957</f>
        <v>3156.5498958010967</v>
      </c>
      <c r="R68" s="748">
        <f>'[2]Bank XOF'!G124/655.957+'[2]Bank XOF'!G171/655.957</f>
        <v>3380.6377552187114</v>
      </c>
      <c r="S68" s="751">
        <f>P68+Q68+R68</f>
        <v>6537.1876510198081</v>
      </c>
      <c r="T68" s="719"/>
      <c r="U68" s="749">
        <f>G68</f>
        <v>10</v>
      </c>
      <c r="V68" s="749">
        <f>H68</f>
        <v>1000</v>
      </c>
      <c r="W68" s="749">
        <f>U68*V68</f>
        <v>10000</v>
      </c>
      <c r="X68" s="720"/>
      <c r="Y68" s="720"/>
      <c r="Z68" s="720"/>
      <c r="AA68" s="720"/>
      <c r="AB68" s="720"/>
    </row>
    <row r="69" spans="1:28" ht="13.5" customHeight="1">
      <c r="A69" s="768"/>
      <c r="B69" s="733"/>
      <c r="C69" s="744"/>
      <c r="D69" s="735"/>
      <c r="E69" s="735"/>
      <c r="F69" s="736"/>
      <c r="G69" s="735"/>
      <c r="H69" s="737"/>
      <c r="I69" s="737"/>
      <c r="J69" s="719"/>
      <c r="K69" s="725"/>
      <c r="L69" s="719"/>
      <c r="M69" s="719"/>
      <c r="N69" s="719"/>
      <c r="O69" s="719"/>
      <c r="P69" s="748"/>
      <c r="Q69" s="748"/>
      <c r="R69" s="779"/>
      <c r="S69" s="719"/>
      <c r="T69" s="719"/>
      <c r="U69" s="719"/>
      <c r="V69" s="719"/>
      <c r="W69" s="719"/>
      <c r="X69" s="720"/>
      <c r="Y69" s="720"/>
      <c r="Z69" s="720"/>
      <c r="AA69" s="720"/>
      <c r="AB69" s="720"/>
    </row>
    <row r="70" spans="1:28" ht="15" customHeight="1">
      <c r="A70" s="783" t="s">
        <v>816</v>
      </c>
      <c r="B70" s="784"/>
      <c r="C70" s="785"/>
      <c r="D70" s="786"/>
      <c r="E70" s="787">
        <f>E45+E57+E67</f>
        <v>365400</v>
      </c>
      <c r="F70" s="788"/>
      <c r="G70" s="786"/>
      <c r="H70" s="786"/>
      <c r="I70" s="787">
        <f>I45+I57+I67</f>
        <v>134850</v>
      </c>
      <c r="J70" s="787">
        <f t="shared" ref="J70:W70" si="39">J45+J57+J67</f>
        <v>0</v>
      </c>
      <c r="K70" s="787">
        <f t="shared" si="39"/>
        <v>0</v>
      </c>
      <c r="L70" s="787">
        <f t="shared" si="39"/>
        <v>0</v>
      </c>
      <c r="M70" s="787">
        <f t="shared" si="39"/>
        <v>0</v>
      </c>
      <c r="N70" s="787">
        <f t="shared" si="39"/>
        <v>0</v>
      </c>
      <c r="O70" s="787">
        <f t="shared" si="39"/>
        <v>0</v>
      </c>
      <c r="P70" s="787">
        <f t="shared" si="39"/>
        <v>0</v>
      </c>
      <c r="Q70" s="787">
        <f t="shared" si="39"/>
        <v>3234.4894558637229</v>
      </c>
      <c r="R70" s="787">
        <f t="shared" si="39"/>
        <v>11497.819216808419</v>
      </c>
      <c r="S70" s="787">
        <f t="shared" si="39"/>
        <v>14732.308672672141</v>
      </c>
      <c r="T70" s="787">
        <f t="shared" si="39"/>
        <v>0</v>
      </c>
      <c r="U70" s="787">
        <f t="shared" si="39"/>
        <v>172.5</v>
      </c>
      <c r="V70" s="787">
        <f t="shared" si="39"/>
        <v>14100</v>
      </c>
      <c r="W70" s="787">
        <f t="shared" si="39"/>
        <v>101850</v>
      </c>
      <c r="X70" s="720"/>
      <c r="Y70" s="720"/>
      <c r="Z70" s="720"/>
      <c r="AA70" s="720"/>
      <c r="AB70" s="720"/>
    </row>
    <row r="71" spans="1:28" ht="15" customHeight="1">
      <c r="A71" s="789" t="s">
        <v>1301</v>
      </c>
      <c r="B71" s="790"/>
      <c r="C71" s="791"/>
      <c r="D71" s="792"/>
      <c r="E71" s="792"/>
      <c r="F71" s="793"/>
      <c r="G71" s="792"/>
      <c r="H71" s="792"/>
      <c r="I71" s="792"/>
      <c r="J71" s="792"/>
      <c r="K71" s="792"/>
      <c r="L71" s="792"/>
      <c r="M71" s="792"/>
      <c r="N71" s="792"/>
      <c r="O71" s="792"/>
      <c r="P71" s="792"/>
      <c r="Q71" s="792"/>
      <c r="R71" s="792"/>
      <c r="S71" s="792"/>
      <c r="T71" s="792"/>
      <c r="U71" s="792"/>
      <c r="V71" s="792"/>
      <c r="W71" s="792"/>
      <c r="X71" s="720"/>
      <c r="Y71" s="720"/>
      <c r="Z71" s="720"/>
      <c r="AA71" s="720"/>
      <c r="AB71" s="720"/>
    </row>
    <row r="72" spans="1:28" ht="13.5" customHeight="1">
      <c r="A72" s="761" t="s">
        <v>344</v>
      </c>
      <c r="B72" s="733" t="s">
        <v>817</v>
      </c>
      <c r="C72" s="734">
        <v>1</v>
      </c>
      <c r="D72" s="735">
        <f>65000</f>
        <v>65000</v>
      </c>
      <c r="E72" s="735">
        <f>C72*D72</f>
        <v>65000</v>
      </c>
      <c r="F72" s="736" t="s">
        <v>818</v>
      </c>
      <c r="G72" s="735">
        <f>1</f>
        <v>1</v>
      </c>
      <c r="H72" s="735">
        <f>D72</f>
        <v>65000</v>
      </c>
      <c r="I72" s="737">
        <f>G72*H72</f>
        <v>65000</v>
      </c>
      <c r="J72" s="737">
        <f t="shared" ref="J72:T72" si="40">H72*I72</f>
        <v>4225000000</v>
      </c>
      <c r="K72" s="737">
        <f t="shared" si="40"/>
        <v>274625000000000</v>
      </c>
      <c r="L72" s="737">
        <f t="shared" si="40"/>
        <v>1.1602906250000001E+24</v>
      </c>
      <c r="M72" s="737">
        <f t="shared" si="40"/>
        <v>3.1864481289062502E+38</v>
      </c>
      <c r="N72" s="737">
        <f t="shared" si="40"/>
        <v>3.6972058910187136E+62</v>
      </c>
      <c r="O72" s="737">
        <f t="shared" si="40"/>
        <v>1.1780954793617746E+101</v>
      </c>
      <c r="P72" s="737">
        <f t="shared" si="40"/>
        <v>4.3556615464788685E+163</v>
      </c>
      <c r="Q72" s="737">
        <f t="shared" si="40"/>
        <v>5.1313851775366706E+264</v>
      </c>
      <c r="R72" s="737" t="e">
        <f t="shared" si="40"/>
        <v>#NUM!</v>
      </c>
      <c r="S72" s="737" t="e">
        <f t="shared" si="40"/>
        <v>#NUM!</v>
      </c>
      <c r="T72" s="737" t="e">
        <f t="shared" si="40"/>
        <v>#NUM!</v>
      </c>
      <c r="U72" s="735">
        <f>G72</f>
        <v>1</v>
      </c>
      <c r="V72" s="735">
        <f>10000</f>
        <v>10000</v>
      </c>
      <c r="W72" s="737">
        <f>U72*V72</f>
        <v>10000</v>
      </c>
      <c r="X72" s="720"/>
      <c r="Y72" s="720"/>
      <c r="Z72" s="720"/>
      <c r="AA72" s="720"/>
      <c r="AB72" s="720"/>
    </row>
    <row r="73" spans="1:28" ht="13.5" customHeight="1">
      <c r="A73" s="761" t="s">
        <v>819</v>
      </c>
      <c r="B73" s="733"/>
      <c r="C73" s="734"/>
      <c r="D73" s="735"/>
      <c r="E73" s="737"/>
      <c r="F73" s="736"/>
      <c r="G73" s="735"/>
      <c r="H73" s="735"/>
      <c r="I73" s="737">
        <f>SUM(I74:I84)</f>
        <v>77701.330778287811</v>
      </c>
      <c r="J73" s="737">
        <f t="shared" ref="J73:W73" si="41">SUM(J74:J84)</f>
        <v>0</v>
      </c>
      <c r="K73" s="737">
        <f t="shared" si="41"/>
        <v>0</v>
      </c>
      <c r="L73" s="737">
        <f t="shared" si="41"/>
        <v>0</v>
      </c>
      <c r="M73" s="737">
        <f t="shared" si="41"/>
        <v>0</v>
      </c>
      <c r="N73" s="737">
        <f t="shared" si="41"/>
        <v>0</v>
      </c>
      <c r="O73" s="737">
        <f t="shared" si="41"/>
        <v>0</v>
      </c>
      <c r="P73" s="737">
        <f t="shared" si="41"/>
        <v>0</v>
      </c>
      <c r="Q73" s="737">
        <f t="shared" si="41"/>
        <v>0</v>
      </c>
      <c r="R73" s="737">
        <f t="shared" si="41"/>
        <v>14837.786623208534</v>
      </c>
      <c r="S73" s="737">
        <f t="shared" si="41"/>
        <v>14837.786623208534</v>
      </c>
      <c r="T73" s="737">
        <f t="shared" si="41"/>
        <v>0</v>
      </c>
      <c r="U73" s="737">
        <f t="shared" si="41"/>
        <v>24.75</v>
      </c>
      <c r="V73" s="737">
        <f t="shared" si="41"/>
        <v>39367.863525856119</v>
      </c>
      <c r="W73" s="737">
        <f t="shared" si="41"/>
        <v>58439.292887841737</v>
      </c>
      <c r="X73" s="720"/>
      <c r="Y73" s="720"/>
      <c r="Z73" s="720"/>
      <c r="AA73" s="720"/>
      <c r="AB73" s="720"/>
    </row>
    <row r="74" spans="1:28" ht="29.45" customHeight="1">
      <c r="A74" s="743" t="s">
        <v>820</v>
      </c>
      <c r="B74" s="733" t="s">
        <v>821</v>
      </c>
      <c r="C74" s="734"/>
      <c r="D74" s="735">
        <f>[3]Goods!$H$10+[3]Goods!$H$11+[3]Goods!$H$12</f>
        <v>33909.186120431674</v>
      </c>
      <c r="E74" s="735">
        <f>D74</f>
        <v>33909.186120431674</v>
      </c>
      <c r="F74" s="733" t="s">
        <v>822</v>
      </c>
      <c r="G74" s="735"/>
      <c r="H74" s="735"/>
      <c r="I74" s="735">
        <f>E74</f>
        <v>33909.186120431674</v>
      </c>
      <c r="J74" s="719"/>
      <c r="K74" s="725"/>
      <c r="L74" s="719"/>
      <c r="M74" s="719"/>
      <c r="N74" s="719"/>
      <c r="O74" s="719"/>
      <c r="P74" s="748">
        <f>0</f>
        <v>0</v>
      </c>
      <c r="Q74" s="748">
        <f>0</f>
        <v>0</v>
      </c>
      <c r="R74" s="748">
        <f>('[2]Bank XOF'!G195/655.957)</f>
        <v>12364.39736141241</v>
      </c>
      <c r="S74" s="749">
        <f>P74+Q74+R74</f>
        <v>12364.39736141241</v>
      </c>
      <c r="T74" s="719"/>
      <c r="U74" s="719"/>
      <c r="V74" s="794">
        <f>33909.19-12500</f>
        <v>21409.190000000002</v>
      </c>
      <c r="W74" s="751">
        <f>V74</f>
        <v>21409.190000000002</v>
      </c>
      <c r="X74" s="720"/>
      <c r="Y74" s="720"/>
      <c r="Z74" s="720"/>
      <c r="AA74" s="720"/>
      <c r="AB74" s="720"/>
    </row>
    <row r="75" spans="1:28" ht="21" customHeight="1">
      <c r="A75" s="743" t="s">
        <v>823</v>
      </c>
      <c r="B75" s="733" t="s">
        <v>824</v>
      </c>
      <c r="C75" s="734">
        <v>5</v>
      </c>
      <c r="D75" s="735"/>
      <c r="E75" s="735">
        <f>[3]Goods!$H$13+[3]Goods!$H$14</f>
        <v>11097.960689496416</v>
      </c>
      <c r="F75" s="736" t="s">
        <v>825</v>
      </c>
      <c r="G75" s="735"/>
      <c r="H75" s="735"/>
      <c r="I75" s="735">
        <f>E75/3</f>
        <v>3699.3202298321389</v>
      </c>
      <c r="J75" s="719"/>
      <c r="K75" s="725"/>
      <c r="L75" s="719"/>
      <c r="M75" s="719"/>
      <c r="N75" s="719"/>
      <c r="O75" s="719"/>
      <c r="P75" s="748">
        <f>0</f>
        <v>0</v>
      </c>
      <c r="Q75" s="748">
        <f>0</f>
        <v>0</v>
      </c>
      <c r="R75" s="780"/>
      <c r="S75" s="751">
        <f t="shared" ref="S75:S84" si="42">P75+Q75+R75</f>
        <v>0</v>
      </c>
      <c r="T75" s="719"/>
      <c r="U75" s="719"/>
      <c r="V75" s="751">
        <f>3000</f>
        <v>3000</v>
      </c>
      <c r="W75" s="751">
        <f>3000</f>
        <v>3000</v>
      </c>
      <c r="X75" s="720"/>
      <c r="Y75" s="720"/>
      <c r="Z75" s="720"/>
      <c r="AA75" s="720"/>
      <c r="AB75" s="720"/>
    </row>
    <row r="76" spans="1:28" ht="15.75" customHeight="1">
      <c r="A76" s="743" t="s">
        <v>826</v>
      </c>
      <c r="B76" s="733" t="s">
        <v>827</v>
      </c>
      <c r="C76" s="734">
        <f>1*1</f>
        <v>1</v>
      </c>
      <c r="D76" s="735">
        <f>[3]Goods!$H$15</f>
        <v>11000</v>
      </c>
      <c r="E76" s="735">
        <f>D76</f>
        <v>11000</v>
      </c>
      <c r="F76" s="736" t="s">
        <v>827</v>
      </c>
      <c r="G76" s="735">
        <f>1*1</f>
        <v>1</v>
      </c>
      <c r="H76" s="735">
        <v>11000</v>
      </c>
      <c r="I76" s="735">
        <f>G76*H76</f>
        <v>11000</v>
      </c>
      <c r="J76" s="719"/>
      <c r="K76" s="725"/>
      <c r="L76" s="719"/>
      <c r="M76" s="719"/>
      <c r="N76" s="719"/>
      <c r="O76" s="719"/>
      <c r="P76" s="748">
        <f>0</f>
        <v>0</v>
      </c>
      <c r="Q76" s="748">
        <f>0</f>
        <v>0</v>
      </c>
      <c r="R76" s="780"/>
      <c r="S76" s="751">
        <f t="shared" si="42"/>
        <v>0</v>
      </c>
      <c r="T76" s="719"/>
      <c r="U76" s="719">
        <v>1</v>
      </c>
      <c r="V76" s="751">
        <f>11000</f>
        <v>11000</v>
      </c>
      <c r="W76" s="751">
        <f t="shared" ref="W76:W83" si="43">U76*V76</f>
        <v>11000</v>
      </c>
      <c r="X76" s="720"/>
      <c r="Y76" s="720"/>
      <c r="Z76" s="720"/>
      <c r="AA76" s="720"/>
      <c r="AB76" s="720"/>
    </row>
    <row r="77" spans="1:28" ht="13.5" customHeight="1">
      <c r="A77" s="743" t="s">
        <v>828</v>
      </c>
      <c r="B77" s="733" t="s">
        <v>829</v>
      </c>
      <c r="C77" s="734">
        <v>2</v>
      </c>
      <c r="D77" s="735">
        <f>E77/C77</f>
        <v>650</v>
      </c>
      <c r="E77" s="735">
        <f>[3]Goods!$H$16</f>
        <v>1300</v>
      </c>
      <c r="F77" s="736" t="s">
        <v>830</v>
      </c>
      <c r="G77" s="735">
        <v>2</v>
      </c>
      <c r="H77" s="735">
        <f>D77</f>
        <v>650</v>
      </c>
      <c r="I77" s="735">
        <f>G77*H77</f>
        <v>1300</v>
      </c>
      <c r="J77" s="719"/>
      <c r="K77" s="725"/>
      <c r="L77" s="719"/>
      <c r="M77" s="719"/>
      <c r="N77" s="719"/>
      <c r="O77" s="719"/>
      <c r="P77" s="748">
        <f>0</f>
        <v>0</v>
      </c>
      <c r="Q77" s="748">
        <f>0</f>
        <v>0</v>
      </c>
      <c r="R77" s="780"/>
      <c r="S77" s="751">
        <f t="shared" si="42"/>
        <v>0</v>
      </c>
      <c r="T77" s="719"/>
      <c r="U77" s="719">
        <v>2</v>
      </c>
      <c r="V77" s="751">
        <v>650</v>
      </c>
      <c r="W77" s="751">
        <f t="shared" si="43"/>
        <v>1300</v>
      </c>
      <c r="X77" s="720"/>
      <c r="Y77" s="720"/>
      <c r="Z77" s="720"/>
      <c r="AA77" s="720"/>
      <c r="AB77" s="720"/>
    </row>
    <row r="78" spans="1:28" ht="13.5" customHeight="1">
      <c r="A78" s="743" t="s">
        <v>831</v>
      </c>
      <c r="B78" s="733" t="s">
        <v>832</v>
      </c>
      <c r="C78" s="734"/>
      <c r="D78" s="735"/>
      <c r="E78" s="735">
        <f>[3]Goods!$H$17</f>
        <v>1900</v>
      </c>
      <c r="F78" s="736" t="s">
        <v>833</v>
      </c>
      <c r="G78" s="735">
        <f>1*5</f>
        <v>5</v>
      </c>
      <c r="H78" s="735">
        <v>1000</v>
      </c>
      <c r="I78" s="735">
        <f>E78</f>
        <v>1900</v>
      </c>
      <c r="J78" s="719"/>
      <c r="K78" s="725"/>
      <c r="L78" s="719"/>
      <c r="M78" s="719"/>
      <c r="N78" s="719"/>
      <c r="O78" s="719"/>
      <c r="P78" s="748">
        <f>0</f>
        <v>0</v>
      </c>
      <c r="Q78" s="748">
        <f>0</f>
        <v>0</v>
      </c>
      <c r="R78" s="780"/>
      <c r="S78" s="751">
        <f t="shared" si="42"/>
        <v>0</v>
      </c>
      <c r="T78" s="719"/>
      <c r="U78" s="719">
        <f>0</f>
        <v>0</v>
      </c>
      <c r="V78" s="751">
        <f>0</f>
        <v>0</v>
      </c>
      <c r="W78" s="751">
        <f t="shared" si="43"/>
        <v>0</v>
      </c>
      <c r="X78" s="720"/>
      <c r="Y78" s="720"/>
      <c r="Z78" s="720"/>
      <c r="AA78" s="720"/>
      <c r="AB78" s="720"/>
    </row>
    <row r="79" spans="1:28" ht="13.5" customHeight="1">
      <c r="A79" s="743" t="s">
        <v>834</v>
      </c>
      <c r="B79" s="733" t="s">
        <v>835</v>
      </c>
      <c r="C79" s="734">
        <f>E79/D79</f>
        <v>15</v>
      </c>
      <c r="D79" s="735">
        <f>E79/15</f>
        <v>228.67352585611559</v>
      </c>
      <c r="E79" s="735">
        <f>[3]Goods!$H$31</f>
        <v>3430.1028878417337</v>
      </c>
      <c r="F79" s="736" t="s">
        <v>835</v>
      </c>
      <c r="G79" s="735">
        <f>C79</f>
        <v>15</v>
      </c>
      <c r="H79" s="735">
        <f>D79</f>
        <v>228.67352585611559</v>
      </c>
      <c r="I79" s="735">
        <f>G79*H79</f>
        <v>3430.1028878417337</v>
      </c>
      <c r="J79" s="719"/>
      <c r="K79" s="725"/>
      <c r="L79" s="719"/>
      <c r="M79" s="719"/>
      <c r="N79" s="719"/>
      <c r="O79" s="719"/>
      <c r="P79" s="748">
        <f>0</f>
        <v>0</v>
      </c>
      <c r="Q79" s="748">
        <f>0</f>
        <v>0</v>
      </c>
      <c r="R79" s="780"/>
      <c r="S79" s="751">
        <f t="shared" si="42"/>
        <v>0</v>
      </c>
      <c r="T79" s="719"/>
      <c r="U79" s="719">
        <f>15</f>
        <v>15</v>
      </c>
      <c r="V79" s="751">
        <f>H79</f>
        <v>228.67352585611559</v>
      </c>
      <c r="W79" s="751">
        <f t="shared" si="43"/>
        <v>3430.1028878417337</v>
      </c>
      <c r="X79" s="720"/>
      <c r="Y79" s="720"/>
      <c r="Z79" s="720"/>
      <c r="AA79" s="720"/>
      <c r="AB79" s="720"/>
    </row>
    <row r="80" spans="1:28" ht="13.5" customHeight="1">
      <c r="A80" s="743" t="s">
        <v>836</v>
      </c>
      <c r="B80" s="733" t="s">
        <v>837</v>
      </c>
      <c r="C80" s="734">
        <v>25</v>
      </c>
      <c r="D80" s="735">
        <v>80</v>
      </c>
      <c r="E80" s="735">
        <f>[3]Goods!$H$24</f>
        <v>2000</v>
      </c>
      <c r="F80" s="736" t="s">
        <v>837</v>
      </c>
      <c r="G80" s="735">
        <f>C80</f>
        <v>25</v>
      </c>
      <c r="H80" s="735">
        <f>D80</f>
        <v>80</v>
      </c>
      <c r="I80" s="735">
        <f>G80*H80</f>
        <v>2000</v>
      </c>
      <c r="J80" s="719"/>
      <c r="K80" s="725"/>
      <c r="L80" s="719"/>
      <c r="M80" s="719"/>
      <c r="N80" s="719"/>
      <c r="O80" s="719"/>
      <c r="P80" s="748">
        <f>0</f>
        <v>0</v>
      </c>
      <c r="Q80" s="748">
        <f>0</f>
        <v>0</v>
      </c>
      <c r="R80" s="780">
        <f>'[2]Bank XOF'!G116/655.957</f>
        <v>1665.4094704378488</v>
      </c>
      <c r="S80" s="751">
        <f t="shared" si="42"/>
        <v>1665.4094704378488</v>
      </c>
      <c r="T80" s="719"/>
      <c r="U80" s="719">
        <v>3.75</v>
      </c>
      <c r="V80" s="751">
        <v>80</v>
      </c>
      <c r="W80" s="751">
        <f t="shared" si="43"/>
        <v>300</v>
      </c>
      <c r="X80" s="720"/>
      <c r="Y80" s="720"/>
      <c r="Z80" s="720"/>
      <c r="AA80" s="720"/>
      <c r="AB80" s="720"/>
    </row>
    <row r="81" spans="1:28" ht="13.5" customHeight="1">
      <c r="A81" s="743" t="s">
        <v>838</v>
      </c>
      <c r="B81" s="733"/>
      <c r="C81" s="734"/>
      <c r="D81" s="735">
        <f>[3]Goods!$H$18</f>
        <v>3300</v>
      </c>
      <c r="E81" s="735">
        <f>D81</f>
        <v>3300</v>
      </c>
      <c r="F81" s="736"/>
      <c r="G81" s="735"/>
      <c r="H81" s="735">
        <f>E81</f>
        <v>3300</v>
      </c>
      <c r="I81" s="735">
        <f>H81</f>
        <v>3300</v>
      </c>
      <c r="J81" s="719"/>
      <c r="K81" s="725"/>
      <c r="L81" s="719"/>
      <c r="M81" s="719"/>
      <c r="N81" s="719"/>
      <c r="O81" s="719"/>
      <c r="P81" s="748">
        <f>0</f>
        <v>0</v>
      </c>
      <c r="Q81" s="748">
        <f>0</f>
        <v>0</v>
      </c>
      <c r="R81" s="780"/>
      <c r="S81" s="751">
        <f t="shared" si="42"/>
        <v>0</v>
      </c>
      <c r="T81" s="719"/>
      <c r="U81" s="719">
        <v>1</v>
      </c>
      <c r="V81" s="751">
        <f>0</f>
        <v>0</v>
      </c>
      <c r="W81" s="751">
        <f t="shared" si="43"/>
        <v>0</v>
      </c>
      <c r="X81" s="720"/>
      <c r="Y81" s="720"/>
      <c r="Z81" s="720"/>
      <c r="AA81" s="720"/>
      <c r="AB81" s="720"/>
    </row>
    <row r="82" spans="1:28" ht="15" customHeight="1">
      <c r="A82" s="743" t="s">
        <v>839</v>
      </c>
      <c r="B82" s="733"/>
      <c r="C82" s="734"/>
      <c r="D82" s="735"/>
      <c r="E82" s="735">
        <f>6000</f>
        <v>6000</v>
      </c>
      <c r="F82" s="736"/>
      <c r="G82" s="735">
        <v>1</v>
      </c>
      <c r="H82" s="735"/>
      <c r="I82" s="735">
        <f>E82/3</f>
        <v>2000</v>
      </c>
      <c r="J82" s="719"/>
      <c r="K82" s="725"/>
      <c r="L82" s="719"/>
      <c r="M82" s="719"/>
      <c r="N82" s="719"/>
      <c r="O82" s="719"/>
      <c r="P82" s="748">
        <f>0</f>
        <v>0</v>
      </c>
      <c r="Q82" s="748">
        <f>0</f>
        <v>0</v>
      </c>
      <c r="R82" s="780"/>
      <c r="S82" s="751">
        <f t="shared" si="42"/>
        <v>0</v>
      </c>
      <c r="T82" s="719"/>
      <c r="U82" s="719">
        <v>1</v>
      </c>
      <c r="V82" s="751">
        <f>2000</f>
        <v>2000</v>
      </c>
      <c r="W82" s="751">
        <f t="shared" si="43"/>
        <v>2000</v>
      </c>
      <c r="X82" s="720"/>
      <c r="Y82" s="720"/>
      <c r="Z82" s="720"/>
      <c r="AA82" s="720"/>
      <c r="AB82" s="720"/>
    </row>
    <row r="83" spans="1:28" ht="16.899999999999999" customHeight="1">
      <c r="A83" s="743" t="s">
        <v>840</v>
      </c>
      <c r="B83" s="733" t="s">
        <v>841</v>
      </c>
      <c r="C83" s="734">
        <v>10</v>
      </c>
      <c r="D83" s="735">
        <f>E83/C83</f>
        <v>365.8776413697849</v>
      </c>
      <c r="E83" s="735">
        <f>[3]Goods!$H$29</f>
        <v>3658.776413697849</v>
      </c>
      <c r="F83" s="736" t="s">
        <v>841</v>
      </c>
      <c r="G83" s="735">
        <v>5</v>
      </c>
      <c r="H83" s="735">
        <f>D83</f>
        <v>365.8776413697849</v>
      </c>
      <c r="I83" s="735">
        <f>H83*G83</f>
        <v>1829.3882068489245</v>
      </c>
      <c r="J83" s="719"/>
      <c r="K83" s="725"/>
      <c r="L83" s="719"/>
      <c r="M83" s="719"/>
      <c r="N83" s="719"/>
      <c r="O83" s="719"/>
      <c r="P83" s="748">
        <f>0</f>
        <v>0</v>
      </c>
      <c r="Q83" s="748">
        <f>0</f>
        <v>0</v>
      </c>
      <c r="R83" s="780">
        <f>'[2]Bank XOF'!G143/655.957</f>
        <v>807.97979135827507</v>
      </c>
      <c r="S83" s="751">
        <f t="shared" si="42"/>
        <v>807.97979135827507</v>
      </c>
      <c r="T83" s="719"/>
      <c r="U83" s="719">
        <v>1</v>
      </c>
      <c r="V83" s="751">
        <f>1000</f>
        <v>1000</v>
      </c>
      <c r="W83" s="751">
        <f t="shared" si="43"/>
        <v>1000</v>
      </c>
      <c r="X83" s="720"/>
      <c r="Y83" s="720"/>
      <c r="Z83" s="720"/>
      <c r="AA83" s="720"/>
      <c r="AB83" s="720"/>
    </row>
    <row r="84" spans="1:28" ht="19.899999999999999" customHeight="1">
      <c r="A84" s="743" t="s">
        <v>842</v>
      </c>
      <c r="B84" s="733"/>
      <c r="C84" s="734"/>
      <c r="D84" s="735"/>
      <c r="E84" s="735">
        <f>40000</f>
        <v>40000</v>
      </c>
      <c r="F84" s="736"/>
      <c r="G84" s="735"/>
      <c r="H84" s="735"/>
      <c r="I84" s="735">
        <f>E84/3</f>
        <v>13333.333333333334</v>
      </c>
      <c r="J84" s="719"/>
      <c r="K84" s="725"/>
      <c r="L84" s="719"/>
      <c r="M84" s="719"/>
      <c r="N84" s="719"/>
      <c r="O84" s="719"/>
      <c r="P84" s="748">
        <f>0</f>
        <v>0</v>
      </c>
      <c r="Q84" s="748">
        <f>0</f>
        <v>0</v>
      </c>
      <c r="R84" s="780"/>
      <c r="S84" s="751">
        <f t="shared" si="42"/>
        <v>0</v>
      </c>
      <c r="T84" s="719"/>
      <c r="U84" s="719"/>
      <c r="V84" s="751"/>
      <c r="W84" s="751">
        <f>15000</f>
        <v>15000</v>
      </c>
      <c r="X84" s="720"/>
      <c r="Y84" s="720"/>
      <c r="Z84" s="720"/>
      <c r="AA84" s="720"/>
      <c r="AB84" s="720"/>
    </row>
    <row r="85" spans="1:28" ht="15" customHeight="1">
      <c r="A85" s="761" t="s">
        <v>843</v>
      </c>
      <c r="B85" s="733">
        <v>0</v>
      </c>
      <c r="C85" s="734">
        <v>0</v>
      </c>
      <c r="D85" s="735">
        <v>0</v>
      </c>
      <c r="E85" s="735">
        <f>B85*C85*D85</f>
        <v>0</v>
      </c>
      <c r="F85" s="736">
        <v>0</v>
      </c>
      <c r="G85" s="735">
        <v>0</v>
      </c>
      <c r="H85" s="735">
        <v>0</v>
      </c>
      <c r="I85" s="737">
        <f>F85*G85*H85</f>
        <v>0</v>
      </c>
      <c r="J85" s="719"/>
      <c r="K85" s="725"/>
      <c r="L85" s="719"/>
      <c r="M85" s="719"/>
      <c r="N85" s="719"/>
      <c r="O85" s="719"/>
      <c r="P85" s="795">
        <f>0</f>
        <v>0</v>
      </c>
      <c r="Q85" s="795">
        <f>0</f>
        <v>0</v>
      </c>
      <c r="R85" s="796">
        <f>0</f>
        <v>0</v>
      </c>
      <c r="S85" s="797">
        <f>P85+Q85+R85</f>
        <v>0</v>
      </c>
      <c r="T85" s="719"/>
      <c r="U85" s="719"/>
      <c r="V85" s="751"/>
      <c r="W85" s="751"/>
      <c r="X85" s="720"/>
      <c r="Y85" s="720"/>
      <c r="Z85" s="720"/>
      <c r="AA85" s="720"/>
      <c r="AB85" s="720"/>
    </row>
    <row r="86" spans="1:28" ht="15" customHeight="1">
      <c r="A86" s="798" t="s">
        <v>844</v>
      </c>
      <c r="B86" s="799"/>
      <c r="C86" s="800"/>
      <c r="D86" s="801"/>
      <c r="E86" s="802">
        <f>SUM(E71:E85)</f>
        <v>182596.02611146765</v>
      </c>
      <c r="F86" s="803"/>
      <c r="G86" s="801"/>
      <c r="H86" s="801"/>
      <c r="I86" s="802">
        <f>I72+I73+I85</f>
        <v>142701.33077828781</v>
      </c>
      <c r="J86" s="802">
        <f t="shared" ref="J86:W86" si="44">J72+J73+J85</f>
        <v>4225000000</v>
      </c>
      <c r="K86" s="802">
        <f t="shared" si="44"/>
        <v>274625000000000</v>
      </c>
      <c r="L86" s="802">
        <f t="shared" si="44"/>
        <v>1.1602906250000001E+24</v>
      </c>
      <c r="M86" s="802">
        <f t="shared" si="44"/>
        <v>3.1864481289062502E+38</v>
      </c>
      <c r="N86" s="802">
        <f t="shared" si="44"/>
        <v>3.6972058910187136E+62</v>
      </c>
      <c r="O86" s="802">
        <f t="shared" si="44"/>
        <v>1.1780954793617746E+101</v>
      </c>
      <c r="P86" s="802">
        <f t="shared" si="44"/>
        <v>4.3556615464788685E+163</v>
      </c>
      <c r="Q86" s="802">
        <f t="shared" si="44"/>
        <v>5.1313851775366706E+264</v>
      </c>
      <c r="R86" s="802" t="e">
        <f t="shared" si="44"/>
        <v>#NUM!</v>
      </c>
      <c r="S86" s="802" t="e">
        <f t="shared" si="44"/>
        <v>#NUM!</v>
      </c>
      <c r="T86" s="802" t="e">
        <f t="shared" si="44"/>
        <v>#NUM!</v>
      </c>
      <c r="U86" s="802">
        <f t="shared" si="44"/>
        <v>25.75</v>
      </c>
      <c r="V86" s="802">
        <f t="shared" si="44"/>
        <v>49367.863525856119</v>
      </c>
      <c r="W86" s="802">
        <f t="shared" si="44"/>
        <v>68439.29288784173</v>
      </c>
      <c r="X86" s="720"/>
      <c r="Y86" s="720"/>
      <c r="Z86" s="720"/>
      <c r="AA86" s="720"/>
      <c r="AB86" s="720"/>
    </row>
    <row r="87" spans="1:28" ht="15" customHeight="1">
      <c r="A87" s="804" t="s">
        <v>845</v>
      </c>
      <c r="B87" s="805"/>
      <c r="C87" s="806"/>
      <c r="D87" s="807"/>
      <c r="E87" s="807"/>
      <c r="F87" s="808"/>
      <c r="G87" s="807"/>
      <c r="H87" s="807"/>
      <c r="I87" s="809"/>
      <c r="J87" s="809"/>
      <c r="K87" s="809"/>
      <c r="L87" s="809"/>
      <c r="M87" s="809"/>
      <c r="N87" s="809"/>
      <c r="O87" s="809"/>
      <c r="P87" s="809"/>
      <c r="Q87" s="809"/>
      <c r="R87" s="809"/>
      <c r="S87" s="809"/>
      <c r="T87" s="809"/>
      <c r="U87" s="809"/>
      <c r="V87" s="809"/>
      <c r="W87" s="809"/>
      <c r="X87" s="720"/>
      <c r="Y87" s="720"/>
      <c r="Z87" s="720"/>
      <c r="AA87" s="720"/>
      <c r="AB87" s="720"/>
    </row>
    <row r="88" spans="1:28" ht="15" customHeight="1">
      <c r="A88" s="761" t="s">
        <v>846</v>
      </c>
      <c r="B88" s="733"/>
      <c r="C88" s="734"/>
      <c r="D88" s="735"/>
      <c r="E88" s="735"/>
      <c r="F88" s="736" t="s">
        <v>847</v>
      </c>
      <c r="G88" s="735"/>
      <c r="H88" s="735"/>
      <c r="I88" s="737">
        <f>SUM(I89:I90)</f>
        <v>53333.333333333336</v>
      </c>
      <c r="J88" s="737">
        <f t="shared" ref="J88:W88" si="45">SUM(J89:J90)</f>
        <v>0</v>
      </c>
      <c r="K88" s="737">
        <f t="shared" si="45"/>
        <v>0</v>
      </c>
      <c r="L88" s="737">
        <f t="shared" si="45"/>
        <v>0</v>
      </c>
      <c r="M88" s="737">
        <f t="shared" si="45"/>
        <v>0</v>
      </c>
      <c r="N88" s="737">
        <f t="shared" si="45"/>
        <v>0</v>
      </c>
      <c r="O88" s="737">
        <f t="shared" si="45"/>
        <v>0</v>
      </c>
      <c r="P88" s="737">
        <f t="shared" si="45"/>
        <v>0</v>
      </c>
      <c r="Q88" s="737">
        <f t="shared" si="45"/>
        <v>0</v>
      </c>
      <c r="R88" s="737">
        <f t="shared" si="45"/>
        <v>5994.0941250722235</v>
      </c>
      <c r="S88" s="737">
        <f t="shared" si="45"/>
        <v>5994.0941250722235</v>
      </c>
      <c r="T88" s="737">
        <f t="shared" si="45"/>
        <v>0</v>
      </c>
      <c r="U88" s="737">
        <f t="shared" si="45"/>
        <v>2</v>
      </c>
      <c r="V88" s="737">
        <f t="shared" si="45"/>
        <v>54000</v>
      </c>
      <c r="W88" s="737">
        <f t="shared" si="45"/>
        <v>54000</v>
      </c>
      <c r="X88" s="720"/>
      <c r="Y88" s="720"/>
      <c r="Z88" s="720"/>
      <c r="AA88" s="720"/>
      <c r="AB88" s="720"/>
    </row>
    <row r="89" spans="1:28" ht="26.25" customHeight="1">
      <c r="A89" s="743" t="s">
        <v>162</v>
      </c>
      <c r="B89" s="733" t="s">
        <v>847</v>
      </c>
      <c r="C89" s="734">
        <v>4</v>
      </c>
      <c r="D89" s="735">
        <v>31000</v>
      </c>
      <c r="E89" s="735">
        <f>D89*C89</f>
        <v>124000</v>
      </c>
      <c r="F89" s="736" t="s">
        <v>847</v>
      </c>
      <c r="G89" s="735">
        <v>1</v>
      </c>
      <c r="H89" s="735">
        <f>E89/3</f>
        <v>41333.333333333336</v>
      </c>
      <c r="I89" s="735">
        <f>H89</f>
        <v>41333.333333333336</v>
      </c>
      <c r="J89" s="719"/>
      <c r="K89" s="725"/>
      <c r="L89" s="719"/>
      <c r="M89" s="719"/>
      <c r="N89" s="719"/>
      <c r="O89" s="719"/>
      <c r="P89" s="748">
        <f>0</f>
        <v>0</v>
      </c>
      <c r="Q89" s="748">
        <f>P89</f>
        <v>0</v>
      </c>
      <c r="R89" s="780">
        <f>('[2]Bank XOF'!G114+'[2]Bank XOF'!G115)/655.957+('[2]Bank XOF'!G167+'[2]Bank XOF'!G169)/655.957+('[2]Bank XOF'!G212+'[2]Bank XOF'!G213+'[2]Bank XOF'!G236)/655.957</f>
        <v>5994.0941250722235</v>
      </c>
      <c r="S89" s="751">
        <f>P89+Q89+R89</f>
        <v>5994.0941250722235</v>
      </c>
      <c r="T89" s="719"/>
      <c r="U89" s="751">
        <v>1</v>
      </c>
      <c r="V89" s="751">
        <f>42000</f>
        <v>42000</v>
      </c>
      <c r="W89" s="751">
        <f>U89*V89</f>
        <v>42000</v>
      </c>
      <c r="X89" s="720"/>
      <c r="Y89" s="720"/>
      <c r="Z89" s="720"/>
      <c r="AA89" s="720"/>
      <c r="AB89" s="720"/>
    </row>
    <row r="90" spans="1:28" ht="15" customHeight="1">
      <c r="A90" s="743" t="s">
        <v>848</v>
      </c>
      <c r="B90" s="733" t="s">
        <v>847</v>
      </c>
      <c r="C90" s="734">
        <v>4</v>
      </c>
      <c r="D90" s="735">
        <f>8000</f>
        <v>8000</v>
      </c>
      <c r="E90" s="735">
        <f t="shared" ref="E90:E95" si="46">C90*D90</f>
        <v>32000</v>
      </c>
      <c r="F90" s="736" t="s">
        <v>847</v>
      </c>
      <c r="G90" s="735">
        <v>1</v>
      </c>
      <c r="H90" s="735">
        <f>12000</f>
        <v>12000</v>
      </c>
      <c r="I90" s="735">
        <f t="shared" ref="I90:T95" si="47">G90*H90</f>
        <v>12000</v>
      </c>
      <c r="J90" s="719"/>
      <c r="K90" s="725"/>
      <c r="L90" s="719"/>
      <c r="M90" s="719"/>
      <c r="N90" s="719"/>
      <c r="O90" s="719"/>
      <c r="P90" s="748">
        <f>0</f>
        <v>0</v>
      </c>
      <c r="Q90" s="748">
        <f>P90</f>
        <v>0</v>
      </c>
      <c r="R90" s="780">
        <f>0</f>
        <v>0</v>
      </c>
      <c r="S90" s="751">
        <f>P90+Q90+R90</f>
        <v>0</v>
      </c>
      <c r="T90" s="719"/>
      <c r="U90" s="751">
        <v>1</v>
      </c>
      <c r="V90" s="751">
        <f>12000</f>
        <v>12000</v>
      </c>
      <c r="W90" s="751">
        <f>U90*V90</f>
        <v>12000</v>
      </c>
      <c r="X90" s="720"/>
      <c r="Y90" s="720"/>
      <c r="Z90" s="720"/>
      <c r="AA90" s="720"/>
      <c r="AB90" s="720"/>
    </row>
    <row r="91" spans="1:28" ht="15" customHeight="1">
      <c r="A91" s="761" t="s">
        <v>849</v>
      </c>
      <c r="B91" s="733" t="s">
        <v>847</v>
      </c>
      <c r="C91" s="734">
        <v>0</v>
      </c>
      <c r="D91" s="735">
        <v>0</v>
      </c>
      <c r="E91" s="735">
        <f t="shared" si="46"/>
        <v>0</v>
      </c>
      <c r="F91" s="736" t="s">
        <v>847</v>
      </c>
      <c r="G91" s="735">
        <v>1</v>
      </c>
      <c r="H91" s="735">
        <v>0</v>
      </c>
      <c r="I91" s="737">
        <f t="shared" si="47"/>
        <v>0</v>
      </c>
      <c r="J91" s="719"/>
      <c r="K91" s="725"/>
      <c r="L91" s="719"/>
      <c r="M91" s="719"/>
      <c r="N91" s="719"/>
      <c r="O91" s="719"/>
      <c r="P91" s="795">
        <f>0</f>
        <v>0</v>
      </c>
      <c r="Q91" s="795">
        <f>0</f>
        <v>0</v>
      </c>
      <c r="R91" s="796">
        <f>0</f>
        <v>0</v>
      </c>
      <c r="S91" s="797">
        <f>P91+Q91+R91</f>
        <v>0</v>
      </c>
      <c r="T91" s="719"/>
      <c r="U91" s="719">
        <v>0</v>
      </c>
      <c r="V91" s="719">
        <v>0</v>
      </c>
      <c r="W91" s="719">
        <v>0</v>
      </c>
      <c r="X91" s="720"/>
      <c r="Y91" s="720"/>
      <c r="Z91" s="720"/>
      <c r="AA91" s="720"/>
      <c r="AB91" s="720"/>
    </row>
    <row r="92" spans="1:28" ht="15" customHeight="1">
      <c r="A92" s="761" t="s">
        <v>850</v>
      </c>
      <c r="B92" s="733"/>
      <c r="C92" s="734"/>
      <c r="D92" s="735"/>
      <c r="E92" s="735"/>
      <c r="F92" s="736"/>
      <c r="G92" s="735"/>
      <c r="H92" s="735"/>
      <c r="I92" s="737">
        <f>SUM(I93:I94)</f>
        <v>24000</v>
      </c>
      <c r="J92" s="737">
        <f t="shared" ref="J92:W92" si="48">SUM(J93:J94)</f>
        <v>0</v>
      </c>
      <c r="K92" s="737">
        <f t="shared" si="48"/>
        <v>0</v>
      </c>
      <c r="L92" s="737">
        <f t="shared" si="48"/>
        <v>0</v>
      </c>
      <c r="M92" s="737">
        <f t="shared" si="48"/>
        <v>0</v>
      </c>
      <c r="N92" s="737">
        <f t="shared" si="48"/>
        <v>0</v>
      </c>
      <c r="O92" s="737">
        <f t="shared" si="48"/>
        <v>0</v>
      </c>
      <c r="P92" s="737">
        <f t="shared" si="48"/>
        <v>0</v>
      </c>
      <c r="Q92" s="737">
        <f t="shared" si="48"/>
        <v>0</v>
      </c>
      <c r="R92" s="737">
        <f t="shared" si="48"/>
        <v>2542.7505156588009</v>
      </c>
      <c r="S92" s="737">
        <f t="shared" si="48"/>
        <v>2542.7505156588009</v>
      </c>
      <c r="T92" s="737">
        <f t="shared" si="48"/>
        <v>0</v>
      </c>
      <c r="U92" s="737">
        <f t="shared" si="48"/>
        <v>2</v>
      </c>
      <c r="V92" s="737">
        <f t="shared" si="48"/>
        <v>24000</v>
      </c>
      <c r="W92" s="737">
        <f t="shared" si="48"/>
        <v>24000</v>
      </c>
      <c r="X92" s="720"/>
      <c r="Y92" s="720"/>
      <c r="Z92" s="720"/>
      <c r="AA92" s="720"/>
      <c r="AB92" s="720"/>
    </row>
    <row r="93" spans="1:28" ht="15" customHeight="1">
      <c r="A93" s="743" t="s">
        <v>280</v>
      </c>
      <c r="B93" s="733" t="s">
        <v>847</v>
      </c>
      <c r="C93" s="734">
        <v>4</v>
      </c>
      <c r="D93" s="735">
        <v>8000</v>
      </c>
      <c r="E93" s="735">
        <f t="shared" si="46"/>
        <v>32000</v>
      </c>
      <c r="F93" s="736" t="s">
        <v>847</v>
      </c>
      <c r="G93" s="735">
        <v>1</v>
      </c>
      <c r="H93" s="735">
        <v>14000</v>
      </c>
      <c r="I93" s="735">
        <f t="shared" si="47"/>
        <v>14000</v>
      </c>
      <c r="J93" s="719"/>
      <c r="K93" s="725"/>
      <c r="L93" s="719"/>
      <c r="M93" s="719"/>
      <c r="N93" s="719"/>
      <c r="O93" s="719"/>
      <c r="P93" s="748">
        <f>0</f>
        <v>0</v>
      </c>
      <c r="Q93" s="748">
        <f>0</f>
        <v>0</v>
      </c>
      <c r="R93" s="780">
        <f>('[2]Bank XOF'!G211+'[2]Bank XOF'!G214)/655.957</f>
        <v>1628.0564122343385</v>
      </c>
      <c r="S93" s="751">
        <f>P93+Q93+R93</f>
        <v>1628.0564122343385</v>
      </c>
      <c r="T93" s="719"/>
      <c r="U93" s="751">
        <f>G93</f>
        <v>1</v>
      </c>
      <c r="V93" s="751">
        <f>H93</f>
        <v>14000</v>
      </c>
      <c r="W93" s="751">
        <f>U93*V93</f>
        <v>14000</v>
      </c>
      <c r="X93" s="720"/>
      <c r="Y93" s="720"/>
      <c r="Z93" s="720"/>
      <c r="AA93" s="720"/>
      <c r="AB93" s="720"/>
    </row>
    <row r="94" spans="1:28" ht="15" customHeight="1">
      <c r="A94" s="768" t="s">
        <v>158</v>
      </c>
      <c r="B94" s="733" t="s">
        <v>847</v>
      </c>
      <c r="C94" s="734">
        <v>4</v>
      </c>
      <c r="D94" s="735">
        <f>10000</f>
        <v>10000</v>
      </c>
      <c r="E94" s="735">
        <f t="shared" si="46"/>
        <v>40000</v>
      </c>
      <c r="F94" s="736" t="s">
        <v>847</v>
      </c>
      <c r="G94" s="735">
        <v>1</v>
      </c>
      <c r="H94" s="735">
        <f>10000</f>
        <v>10000</v>
      </c>
      <c r="I94" s="735">
        <f t="shared" si="47"/>
        <v>10000</v>
      </c>
      <c r="J94" s="719"/>
      <c r="K94" s="725"/>
      <c r="L94" s="719"/>
      <c r="M94" s="719"/>
      <c r="N94" s="719"/>
      <c r="O94" s="719"/>
      <c r="P94" s="748">
        <f>0</f>
        <v>0</v>
      </c>
      <c r="Q94" s="748">
        <f>P94</f>
        <v>0</v>
      </c>
      <c r="R94" s="780">
        <f>'[2]Bank XOF'!G113/655.957</f>
        <v>914.69410342446224</v>
      </c>
      <c r="S94" s="751">
        <f>P94+Q94+R94</f>
        <v>914.69410342446224</v>
      </c>
      <c r="T94" s="719"/>
      <c r="U94" s="751">
        <f>G94</f>
        <v>1</v>
      </c>
      <c r="V94" s="751">
        <f>10000</f>
        <v>10000</v>
      </c>
      <c r="W94" s="751">
        <f>U94*V94</f>
        <v>10000</v>
      </c>
      <c r="X94" s="720"/>
      <c r="Y94" s="720"/>
      <c r="Z94" s="720"/>
      <c r="AA94" s="720"/>
      <c r="AB94" s="720"/>
    </row>
    <row r="95" spans="1:28" ht="25.9" customHeight="1">
      <c r="A95" s="761" t="s">
        <v>140</v>
      </c>
      <c r="B95" s="733" t="s">
        <v>847</v>
      </c>
      <c r="C95" s="734">
        <v>4</v>
      </c>
      <c r="D95" s="735">
        <v>30265</v>
      </c>
      <c r="E95" s="735">
        <f t="shared" si="46"/>
        <v>121060</v>
      </c>
      <c r="F95" s="736" t="s">
        <v>847</v>
      </c>
      <c r="G95" s="735">
        <v>1</v>
      </c>
      <c r="H95" s="735">
        <f>D95</f>
        <v>30265</v>
      </c>
      <c r="I95" s="737">
        <f t="shared" si="47"/>
        <v>30265</v>
      </c>
      <c r="J95" s="737">
        <f t="shared" si="47"/>
        <v>915970225</v>
      </c>
      <c r="K95" s="737">
        <f t="shared" si="47"/>
        <v>27721838859625</v>
      </c>
      <c r="L95" s="737">
        <f t="shared" si="47"/>
        <v>2.5392378977664457E+22</v>
      </c>
      <c r="M95" s="737">
        <f t="shared" si="47"/>
        <v>7.0392343828134354E+35</v>
      </c>
      <c r="N95" s="737">
        <f t="shared" si="47"/>
        <v>1.7874290716100472E+58</v>
      </c>
      <c r="O95" s="737">
        <f t="shared" si="47"/>
        <v>1.2582132177717742E+94</v>
      </c>
      <c r="P95" s="737">
        <f t="shared" si="47"/>
        <v>2.2489668837292925E+152</v>
      </c>
      <c r="Q95" s="737">
        <f t="shared" si="47"/>
        <v>2.8296798594391927E+246</v>
      </c>
      <c r="R95" s="737" t="e">
        <f t="shared" si="47"/>
        <v>#NUM!</v>
      </c>
      <c r="S95" s="737" t="e">
        <f t="shared" si="47"/>
        <v>#NUM!</v>
      </c>
      <c r="T95" s="737" t="e">
        <f t="shared" si="47"/>
        <v>#NUM!</v>
      </c>
      <c r="U95" s="735">
        <v>1</v>
      </c>
      <c r="V95" s="735">
        <v>30265</v>
      </c>
      <c r="W95" s="737">
        <f>U95*V95</f>
        <v>30265</v>
      </c>
      <c r="X95" s="720"/>
      <c r="Y95" s="720"/>
      <c r="Z95" s="720"/>
      <c r="AA95" s="720"/>
      <c r="AB95" s="720"/>
    </row>
    <row r="96" spans="1:28" ht="15" customHeight="1">
      <c r="A96" s="768" t="s">
        <v>851</v>
      </c>
      <c r="B96" s="733"/>
      <c r="C96" s="734"/>
      <c r="D96" s="735"/>
      <c r="E96" s="735"/>
      <c r="F96" s="736"/>
      <c r="G96" s="735"/>
      <c r="H96" s="735"/>
      <c r="I96" s="737"/>
      <c r="J96" s="719"/>
      <c r="K96" s="725"/>
      <c r="L96" s="719"/>
      <c r="M96" s="719"/>
      <c r="N96" s="719"/>
      <c r="O96" s="719"/>
      <c r="P96" s="748"/>
      <c r="Q96" s="748"/>
      <c r="R96" s="779"/>
      <c r="S96" s="719"/>
      <c r="T96" s="719"/>
      <c r="U96" s="719"/>
      <c r="V96" s="719"/>
      <c r="W96" s="719"/>
      <c r="X96" s="720"/>
      <c r="Y96" s="720"/>
      <c r="Z96" s="720"/>
      <c r="AA96" s="720"/>
      <c r="AB96" s="720"/>
    </row>
    <row r="97" spans="1:28" ht="15" customHeight="1">
      <c r="A97" s="810" t="s">
        <v>852</v>
      </c>
      <c r="B97" s="811"/>
      <c r="C97" s="812"/>
      <c r="D97" s="813"/>
      <c r="E97" s="814">
        <f>SUM(E87:E96)</f>
        <v>349060</v>
      </c>
      <c r="F97" s="815"/>
      <c r="G97" s="813"/>
      <c r="H97" s="813"/>
      <c r="I97" s="814">
        <f>I88+I91+I92+I95</f>
        <v>107598.33333333334</v>
      </c>
      <c r="J97" s="814">
        <f t="shared" ref="J97:W97" si="49">J88+J91+J92+J95</f>
        <v>915970225</v>
      </c>
      <c r="K97" s="814">
        <f t="shared" si="49"/>
        <v>27721838859625</v>
      </c>
      <c r="L97" s="814">
        <f t="shared" si="49"/>
        <v>2.5392378977664457E+22</v>
      </c>
      <c r="M97" s="814">
        <f t="shared" si="49"/>
        <v>7.0392343828134354E+35</v>
      </c>
      <c r="N97" s="814">
        <f t="shared" si="49"/>
        <v>1.7874290716100472E+58</v>
      </c>
      <c r="O97" s="814">
        <f t="shared" si="49"/>
        <v>1.2582132177717742E+94</v>
      </c>
      <c r="P97" s="814">
        <f t="shared" si="49"/>
        <v>2.2489668837292925E+152</v>
      </c>
      <c r="Q97" s="814">
        <f t="shared" si="49"/>
        <v>2.8296798594391927E+246</v>
      </c>
      <c r="R97" s="814" t="e">
        <f t="shared" si="49"/>
        <v>#NUM!</v>
      </c>
      <c r="S97" s="814" t="e">
        <f t="shared" si="49"/>
        <v>#NUM!</v>
      </c>
      <c r="T97" s="814" t="e">
        <f t="shared" si="49"/>
        <v>#NUM!</v>
      </c>
      <c r="U97" s="814">
        <f t="shared" si="49"/>
        <v>5</v>
      </c>
      <c r="V97" s="814">
        <f t="shared" si="49"/>
        <v>108265</v>
      </c>
      <c r="W97" s="814">
        <f t="shared" si="49"/>
        <v>108265</v>
      </c>
      <c r="X97" s="720"/>
      <c r="Y97" s="720"/>
      <c r="Z97" s="720"/>
      <c r="AA97" s="720"/>
      <c r="AB97" s="720"/>
    </row>
    <row r="98" spans="1:28" ht="15" customHeight="1">
      <c r="A98" s="816" t="s">
        <v>1302</v>
      </c>
      <c r="B98" s="817"/>
      <c r="C98" s="818"/>
      <c r="D98" s="819"/>
      <c r="E98" s="819"/>
      <c r="F98" s="820"/>
      <c r="G98" s="819"/>
      <c r="H98" s="819"/>
      <c r="I98" s="819"/>
      <c r="J98" s="819"/>
      <c r="K98" s="819"/>
      <c r="L98" s="819"/>
      <c r="M98" s="819"/>
      <c r="N98" s="819"/>
      <c r="O98" s="819"/>
      <c r="P98" s="819"/>
      <c r="Q98" s="819"/>
      <c r="R98" s="819"/>
      <c r="S98" s="819"/>
      <c r="T98" s="819"/>
      <c r="U98" s="819"/>
      <c r="V98" s="819"/>
      <c r="W98" s="819"/>
      <c r="X98" s="720"/>
      <c r="Y98" s="720"/>
      <c r="Z98" s="720"/>
      <c r="AA98" s="720"/>
      <c r="AB98" s="720"/>
    </row>
    <row r="99" spans="1:28" ht="15" customHeight="1">
      <c r="A99" s="761" t="s">
        <v>1303</v>
      </c>
      <c r="B99" s="733"/>
      <c r="C99" s="734"/>
      <c r="D99" s="735"/>
      <c r="E99" s="735"/>
      <c r="F99" s="736"/>
      <c r="G99" s="735"/>
      <c r="H99" s="735"/>
      <c r="I99" s="737">
        <f>0</f>
        <v>0</v>
      </c>
      <c r="J99" s="737">
        <f>0</f>
        <v>0</v>
      </c>
      <c r="K99" s="737">
        <f>0</f>
        <v>0</v>
      </c>
      <c r="L99" s="737">
        <f>0</f>
        <v>0</v>
      </c>
      <c r="M99" s="737">
        <f>0</f>
        <v>0</v>
      </c>
      <c r="N99" s="737">
        <f>0</f>
        <v>0</v>
      </c>
      <c r="O99" s="737">
        <f>0</f>
        <v>0</v>
      </c>
      <c r="P99" s="737">
        <f>0</f>
        <v>0</v>
      </c>
      <c r="Q99" s="737">
        <f>0</f>
        <v>0</v>
      </c>
      <c r="R99" s="737">
        <f>0</f>
        <v>0</v>
      </c>
      <c r="S99" s="737">
        <f>0</f>
        <v>0</v>
      </c>
      <c r="T99" s="737">
        <f>0</f>
        <v>0</v>
      </c>
      <c r="U99" s="737">
        <f>0</f>
        <v>0</v>
      </c>
      <c r="V99" s="737">
        <f>0</f>
        <v>0</v>
      </c>
      <c r="W99" s="737">
        <f>0</f>
        <v>0</v>
      </c>
      <c r="X99" s="720"/>
      <c r="Y99" s="720"/>
      <c r="Z99" s="720"/>
      <c r="AA99" s="720"/>
      <c r="AB99" s="720"/>
    </row>
    <row r="100" spans="1:28" s="821" customFormat="1" ht="15" customHeight="1">
      <c r="A100" s="761" t="s">
        <v>1304</v>
      </c>
      <c r="B100" s="756"/>
      <c r="C100" s="762"/>
      <c r="D100" s="737"/>
      <c r="E100" s="737">
        <f>SUM(E101:E102)</f>
        <v>230400</v>
      </c>
      <c r="F100" s="727"/>
      <c r="G100" s="737"/>
      <c r="H100" s="737"/>
      <c r="I100" s="737">
        <f>SUM(I101:I105)</f>
        <v>174600</v>
      </c>
      <c r="J100" s="737">
        <f t="shared" ref="J100:W100" si="50">SUM(J101:J105)</f>
        <v>0</v>
      </c>
      <c r="K100" s="737">
        <f t="shared" si="50"/>
        <v>0</v>
      </c>
      <c r="L100" s="737">
        <f t="shared" si="50"/>
        <v>0</v>
      </c>
      <c r="M100" s="737">
        <f t="shared" si="50"/>
        <v>0</v>
      </c>
      <c r="N100" s="737">
        <f t="shared" si="50"/>
        <v>0</v>
      </c>
      <c r="O100" s="737">
        <f t="shared" si="50"/>
        <v>0</v>
      </c>
      <c r="P100" s="737">
        <f t="shared" si="50"/>
        <v>0</v>
      </c>
      <c r="Q100" s="737">
        <f t="shared" si="50"/>
        <v>0</v>
      </c>
      <c r="R100" s="737">
        <f t="shared" si="50"/>
        <v>0</v>
      </c>
      <c r="S100" s="737">
        <f t="shared" si="50"/>
        <v>0</v>
      </c>
      <c r="T100" s="737">
        <f t="shared" si="50"/>
        <v>0</v>
      </c>
      <c r="U100" s="737">
        <f t="shared" si="50"/>
        <v>202.5</v>
      </c>
      <c r="V100" s="737">
        <f t="shared" si="50"/>
        <v>6000</v>
      </c>
      <c r="W100" s="737">
        <f t="shared" si="50"/>
        <v>189000</v>
      </c>
      <c r="X100" s="782"/>
      <c r="Y100" s="782"/>
      <c r="Z100" s="782"/>
      <c r="AA100" s="782"/>
      <c r="AB100" s="782"/>
    </row>
    <row r="101" spans="1:28" ht="15" customHeight="1">
      <c r="A101" s="743" t="s">
        <v>853</v>
      </c>
      <c r="B101" s="733" t="s">
        <v>854</v>
      </c>
      <c r="C101" s="734">
        <f>3*3*4*4</f>
        <v>144</v>
      </c>
      <c r="D101" s="735">
        <f>1000</f>
        <v>1000</v>
      </c>
      <c r="E101" s="735">
        <f>D101*C101</f>
        <v>144000</v>
      </c>
      <c r="F101" s="736" t="s">
        <v>854</v>
      </c>
      <c r="G101" s="735">
        <f>C101/4</f>
        <v>36</v>
      </c>
      <c r="H101" s="735">
        <f>D101</f>
        <v>1000</v>
      </c>
      <c r="I101" s="735">
        <f>H101*G101</f>
        <v>36000</v>
      </c>
      <c r="J101" s="719"/>
      <c r="K101" s="725"/>
      <c r="L101" s="719"/>
      <c r="M101" s="719"/>
      <c r="N101" s="719"/>
      <c r="O101" s="719"/>
      <c r="P101" s="748">
        <f>0</f>
        <v>0</v>
      </c>
      <c r="Q101" s="748">
        <f>0</f>
        <v>0</v>
      </c>
      <c r="R101" s="748">
        <f>0</f>
        <v>0</v>
      </c>
      <c r="S101" s="751">
        <f>P101+Q101+R101</f>
        <v>0</v>
      </c>
      <c r="T101" s="719"/>
      <c r="U101" s="719">
        <v>36</v>
      </c>
      <c r="V101" s="751">
        <f>1000</f>
        <v>1000</v>
      </c>
      <c r="W101" s="751">
        <f>U101*V101</f>
        <v>36000</v>
      </c>
      <c r="X101" s="720"/>
      <c r="Y101" s="720"/>
      <c r="Z101" s="720"/>
      <c r="AA101" s="720"/>
      <c r="AB101" s="720"/>
    </row>
    <row r="102" spans="1:28" ht="15" customHeight="1">
      <c r="A102" s="743" t="s">
        <v>855</v>
      </c>
      <c r="B102" s="733" t="s">
        <v>854</v>
      </c>
      <c r="C102" s="734">
        <f>1*3*4*6</f>
        <v>72</v>
      </c>
      <c r="D102" s="735">
        <f>1200</f>
        <v>1200</v>
      </c>
      <c r="E102" s="735">
        <f>D102*C102</f>
        <v>86400</v>
      </c>
      <c r="F102" s="736" t="s">
        <v>854</v>
      </c>
      <c r="G102" s="735">
        <f>C102/4</f>
        <v>18</v>
      </c>
      <c r="H102" s="735">
        <f>D102</f>
        <v>1200</v>
      </c>
      <c r="I102" s="735">
        <f>H102*G102</f>
        <v>21600</v>
      </c>
      <c r="J102" s="719"/>
      <c r="K102" s="725"/>
      <c r="L102" s="719"/>
      <c r="M102" s="719"/>
      <c r="N102" s="719"/>
      <c r="O102" s="719"/>
      <c r="P102" s="748">
        <f>0</f>
        <v>0</v>
      </c>
      <c r="Q102" s="748">
        <f>0</f>
        <v>0</v>
      </c>
      <c r="R102" s="748">
        <f>0</f>
        <v>0</v>
      </c>
      <c r="S102" s="751">
        <f>P102+Q102+R102</f>
        <v>0</v>
      </c>
      <c r="T102" s="719"/>
      <c r="U102" s="719">
        <f>30</f>
        <v>30</v>
      </c>
      <c r="V102" s="751">
        <f>1200</f>
        <v>1200</v>
      </c>
      <c r="W102" s="751">
        <f>U102*V102</f>
        <v>36000</v>
      </c>
      <c r="X102" s="720"/>
      <c r="Y102" s="720"/>
      <c r="Z102" s="720"/>
      <c r="AA102" s="720"/>
      <c r="AB102" s="720"/>
    </row>
    <row r="103" spans="1:28" s="826" customFormat="1" ht="28.15" customHeight="1">
      <c r="A103" s="743" t="s">
        <v>856</v>
      </c>
      <c r="B103" s="733" t="s">
        <v>857</v>
      </c>
      <c r="C103" s="734">
        <f>4*4*2</f>
        <v>32</v>
      </c>
      <c r="D103" s="735">
        <f>3000</f>
        <v>3000</v>
      </c>
      <c r="E103" s="735">
        <f>D103*C103</f>
        <v>96000</v>
      </c>
      <c r="F103" s="736" t="s">
        <v>857</v>
      </c>
      <c r="G103" s="735">
        <f>C103/4+16</f>
        <v>24</v>
      </c>
      <c r="H103" s="735">
        <f>D103</f>
        <v>3000</v>
      </c>
      <c r="I103" s="735">
        <f>H103*G103</f>
        <v>72000</v>
      </c>
      <c r="J103" s="822"/>
      <c r="K103" s="823"/>
      <c r="L103" s="822"/>
      <c r="M103" s="822"/>
      <c r="N103" s="822"/>
      <c r="O103" s="822"/>
      <c r="P103" s="748">
        <f>0</f>
        <v>0</v>
      </c>
      <c r="Q103" s="748">
        <f>0</f>
        <v>0</v>
      </c>
      <c r="R103" s="748">
        <f>0</f>
        <v>0</v>
      </c>
      <c r="S103" s="751">
        <f>P103+Q103+R103</f>
        <v>0</v>
      </c>
      <c r="T103" s="822"/>
      <c r="U103" s="824">
        <f>G103</f>
        <v>24</v>
      </c>
      <c r="V103" s="824">
        <f>H103</f>
        <v>3000</v>
      </c>
      <c r="W103" s="824">
        <f>U103*V103</f>
        <v>72000</v>
      </c>
      <c r="X103" s="825"/>
      <c r="Y103" s="825"/>
      <c r="Z103" s="825"/>
      <c r="AA103" s="825"/>
      <c r="AB103" s="825"/>
    </row>
    <row r="104" spans="1:28" s="826" customFormat="1" ht="31.9" customHeight="1">
      <c r="A104" s="743" t="s">
        <v>858</v>
      </c>
      <c r="B104" s="733" t="s">
        <v>859</v>
      </c>
      <c r="C104" s="734">
        <f>195</f>
        <v>195</v>
      </c>
      <c r="D104" s="735">
        <f>400</f>
        <v>400</v>
      </c>
      <c r="E104" s="735">
        <f>D104*C104</f>
        <v>78000</v>
      </c>
      <c r="F104" s="736" t="s">
        <v>859</v>
      </c>
      <c r="G104" s="735">
        <f>C104/2</f>
        <v>97.5</v>
      </c>
      <c r="H104" s="735">
        <f>D104</f>
        <v>400</v>
      </c>
      <c r="I104" s="735">
        <f>H104*G104</f>
        <v>39000</v>
      </c>
      <c r="J104" s="822"/>
      <c r="K104" s="823"/>
      <c r="L104" s="822"/>
      <c r="M104" s="822"/>
      <c r="N104" s="822"/>
      <c r="O104" s="822"/>
      <c r="P104" s="748">
        <f>0</f>
        <v>0</v>
      </c>
      <c r="Q104" s="748">
        <f>0</f>
        <v>0</v>
      </c>
      <c r="R104" s="748">
        <f>0</f>
        <v>0</v>
      </c>
      <c r="S104" s="751">
        <f>P104+Q104+R104</f>
        <v>0</v>
      </c>
      <c r="T104" s="822"/>
      <c r="U104" s="824">
        <f>G104</f>
        <v>97.5</v>
      </c>
      <c r="V104" s="824">
        <f>H104</f>
        <v>400</v>
      </c>
      <c r="W104" s="824">
        <f>U104*V104</f>
        <v>39000</v>
      </c>
      <c r="X104" s="825"/>
      <c r="Y104" s="825"/>
      <c r="Z104" s="825"/>
      <c r="AA104" s="825"/>
      <c r="AB104" s="825"/>
    </row>
    <row r="105" spans="1:28" ht="15" customHeight="1">
      <c r="A105" s="743" t="s">
        <v>860</v>
      </c>
      <c r="B105" s="733" t="s">
        <v>859</v>
      </c>
      <c r="C105" s="734">
        <f>30</f>
        <v>30</v>
      </c>
      <c r="D105" s="735">
        <f>D104</f>
        <v>400</v>
      </c>
      <c r="E105" s="735">
        <f>C105*D105</f>
        <v>12000</v>
      </c>
      <c r="F105" s="736" t="s">
        <v>859</v>
      </c>
      <c r="G105" s="735">
        <f>C105/2</f>
        <v>15</v>
      </c>
      <c r="H105" s="735">
        <f>D105</f>
        <v>400</v>
      </c>
      <c r="I105" s="735">
        <f>H105*G105</f>
        <v>6000</v>
      </c>
      <c r="J105" s="719"/>
      <c r="K105" s="725"/>
      <c r="L105" s="719"/>
      <c r="M105" s="719"/>
      <c r="N105" s="719"/>
      <c r="O105" s="719"/>
      <c r="P105" s="748">
        <f>0</f>
        <v>0</v>
      </c>
      <c r="Q105" s="748">
        <f>0</f>
        <v>0</v>
      </c>
      <c r="R105" s="748">
        <f>0</f>
        <v>0</v>
      </c>
      <c r="S105" s="751">
        <f>P105+Q105+R105</f>
        <v>0</v>
      </c>
      <c r="T105" s="719"/>
      <c r="U105" s="751">
        <f>15</f>
        <v>15</v>
      </c>
      <c r="V105" s="751">
        <f>400</f>
        <v>400</v>
      </c>
      <c r="W105" s="824">
        <f>U105*V105</f>
        <v>6000</v>
      </c>
      <c r="X105" s="720"/>
      <c r="Y105" s="720"/>
      <c r="Z105" s="720"/>
      <c r="AA105" s="720"/>
      <c r="AB105" s="720"/>
    </row>
    <row r="106" spans="1:28" s="821" customFormat="1" ht="15" customHeight="1">
      <c r="A106" s="761" t="s">
        <v>861</v>
      </c>
      <c r="B106" s="756"/>
      <c r="C106" s="762"/>
      <c r="D106" s="737"/>
      <c r="E106" s="737">
        <f>E107</f>
        <v>40000</v>
      </c>
      <c r="F106" s="727"/>
      <c r="G106" s="737"/>
      <c r="H106" s="737"/>
      <c r="I106" s="737">
        <f>I107</f>
        <v>10000</v>
      </c>
      <c r="J106" s="737">
        <f t="shared" ref="J106:W106" si="51">J107</f>
        <v>0</v>
      </c>
      <c r="K106" s="737">
        <f t="shared" si="51"/>
        <v>0</v>
      </c>
      <c r="L106" s="737">
        <f t="shared" si="51"/>
        <v>0</v>
      </c>
      <c r="M106" s="737">
        <f t="shared" si="51"/>
        <v>0</v>
      </c>
      <c r="N106" s="737">
        <f t="shared" si="51"/>
        <v>0</v>
      </c>
      <c r="O106" s="737">
        <f t="shared" si="51"/>
        <v>0</v>
      </c>
      <c r="P106" s="737">
        <f t="shared" si="51"/>
        <v>0</v>
      </c>
      <c r="Q106" s="737">
        <f t="shared" si="51"/>
        <v>0</v>
      </c>
      <c r="R106" s="737">
        <f t="shared" si="51"/>
        <v>0</v>
      </c>
      <c r="S106" s="737">
        <f t="shared" si="51"/>
        <v>0</v>
      </c>
      <c r="T106" s="737">
        <f t="shared" si="51"/>
        <v>0</v>
      </c>
      <c r="U106" s="737">
        <f t="shared" si="51"/>
        <v>1</v>
      </c>
      <c r="V106" s="737">
        <f t="shared" si="51"/>
        <v>10000</v>
      </c>
      <c r="W106" s="737">
        <f t="shared" si="51"/>
        <v>10000</v>
      </c>
      <c r="X106" s="782"/>
      <c r="Y106" s="782"/>
      <c r="Z106" s="782"/>
      <c r="AA106" s="782"/>
      <c r="AB106" s="782"/>
    </row>
    <row r="107" spans="1:28" ht="15" customHeight="1">
      <c r="A107" s="768" t="s">
        <v>862</v>
      </c>
      <c r="B107" s="827" t="s">
        <v>863</v>
      </c>
      <c r="C107" s="828">
        <v>4</v>
      </c>
      <c r="D107" s="735">
        <v>10000</v>
      </c>
      <c r="E107" s="735">
        <f>C107*D107</f>
        <v>40000</v>
      </c>
      <c r="F107" s="736" t="s">
        <v>863</v>
      </c>
      <c r="G107" s="735">
        <v>1</v>
      </c>
      <c r="H107" s="735">
        <v>10000</v>
      </c>
      <c r="I107" s="735">
        <f>G107*H107</f>
        <v>10000</v>
      </c>
      <c r="J107" s="719"/>
      <c r="K107" s="725"/>
      <c r="L107" s="719"/>
      <c r="M107" s="719"/>
      <c r="N107" s="719"/>
      <c r="O107" s="719"/>
      <c r="P107" s="748">
        <f>0</f>
        <v>0</v>
      </c>
      <c r="Q107" s="748">
        <f>0</f>
        <v>0</v>
      </c>
      <c r="R107" s="780">
        <f>0</f>
        <v>0</v>
      </c>
      <c r="S107" s="751">
        <f>0</f>
        <v>0</v>
      </c>
      <c r="T107" s="719"/>
      <c r="U107" s="751">
        <v>1</v>
      </c>
      <c r="V107" s="751">
        <v>10000</v>
      </c>
      <c r="W107" s="751">
        <v>10000</v>
      </c>
      <c r="X107" s="720"/>
      <c r="Y107" s="720"/>
      <c r="Z107" s="720"/>
      <c r="AA107" s="720"/>
      <c r="AB107" s="720"/>
    </row>
    <row r="108" spans="1:28" ht="15" customHeight="1">
      <c r="A108" s="761" t="s">
        <v>864</v>
      </c>
      <c r="B108" s="827"/>
      <c r="C108" s="828"/>
      <c r="D108" s="735"/>
      <c r="E108" s="735"/>
      <c r="F108" s="736"/>
      <c r="G108" s="735"/>
      <c r="H108" s="735"/>
      <c r="I108" s="737">
        <f>0</f>
        <v>0</v>
      </c>
      <c r="J108" s="737">
        <f>0</f>
        <v>0</v>
      </c>
      <c r="K108" s="737">
        <f>0</f>
        <v>0</v>
      </c>
      <c r="L108" s="737">
        <f>0</f>
        <v>0</v>
      </c>
      <c r="M108" s="737">
        <f>0</f>
        <v>0</v>
      </c>
      <c r="N108" s="737">
        <f>0</f>
        <v>0</v>
      </c>
      <c r="O108" s="737">
        <f>0</f>
        <v>0</v>
      </c>
      <c r="P108" s="737">
        <f>0</f>
        <v>0</v>
      </c>
      <c r="Q108" s="737">
        <f>0</f>
        <v>0</v>
      </c>
      <c r="R108" s="737">
        <f>0</f>
        <v>0</v>
      </c>
      <c r="S108" s="737">
        <f>0</f>
        <v>0</v>
      </c>
      <c r="T108" s="737">
        <f>0</f>
        <v>0</v>
      </c>
      <c r="U108" s="737">
        <f>0</f>
        <v>0</v>
      </c>
      <c r="V108" s="737">
        <f>0</f>
        <v>0</v>
      </c>
      <c r="W108" s="737">
        <f>0</f>
        <v>0</v>
      </c>
      <c r="X108" s="720"/>
      <c r="Y108" s="720"/>
      <c r="Z108" s="720"/>
      <c r="AA108" s="720"/>
      <c r="AB108" s="720"/>
    </row>
    <row r="109" spans="1:28" s="821" customFormat="1" ht="15" customHeight="1">
      <c r="A109" s="761" t="s">
        <v>865</v>
      </c>
      <c r="B109" s="829"/>
      <c r="C109" s="830"/>
      <c r="D109" s="737"/>
      <c r="E109" s="737">
        <f>SUM(E110:E111)</f>
        <v>67077.567584460572</v>
      </c>
      <c r="F109" s="727"/>
      <c r="G109" s="737"/>
      <c r="H109" s="737"/>
      <c r="I109" s="737">
        <f>SUM(I110:I111)</f>
        <v>18781.261576597244</v>
      </c>
      <c r="J109" s="737">
        <f t="shared" ref="J109:W109" si="52">SUM(J110:J111)</f>
        <v>0</v>
      </c>
      <c r="K109" s="737">
        <f t="shared" si="52"/>
        <v>0</v>
      </c>
      <c r="L109" s="737">
        <f t="shared" si="52"/>
        <v>0</v>
      </c>
      <c r="M109" s="737">
        <f t="shared" si="52"/>
        <v>0</v>
      </c>
      <c r="N109" s="737">
        <f t="shared" si="52"/>
        <v>0</v>
      </c>
      <c r="O109" s="737">
        <f t="shared" si="52"/>
        <v>0</v>
      </c>
      <c r="P109" s="737">
        <f t="shared" si="52"/>
        <v>0</v>
      </c>
      <c r="Q109" s="737">
        <f t="shared" si="52"/>
        <v>0</v>
      </c>
      <c r="R109" s="737">
        <f t="shared" si="52"/>
        <v>0</v>
      </c>
      <c r="S109" s="737">
        <f t="shared" si="52"/>
        <v>0</v>
      </c>
      <c r="T109" s="737">
        <f t="shared" si="52"/>
        <v>0</v>
      </c>
      <c r="U109" s="737">
        <f t="shared" si="52"/>
        <v>646.97</v>
      </c>
      <c r="V109" s="737">
        <f t="shared" si="52"/>
        <v>625.04</v>
      </c>
      <c r="W109" s="737">
        <f t="shared" si="52"/>
        <v>18778.222800000003</v>
      </c>
      <c r="X109" s="782"/>
      <c r="Y109" s="782"/>
      <c r="Z109" s="782"/>
      <c r="AA109" s="782"/>
      <c r="AB109" s="782"/>
    </row>
    <row r="110" spans="1:28" ht="30.75" customHeight="1">
      <c r="A110" s="768" t="s">
        <v>866</v>
      </c>
      <c r="B110" s="831" t="s">
        <v>867</v>
      </c>
      <c r="C110" s="828">
        <f>500*4</f>
        <v>2000</v>
      </c>
      <c r="D110" s="735">
        <f>10000/655.957</f>
        <v>15.244901723741037</v>
      </c>
      <c r="E110" s="735">
        <f>C110*D110</f>
        <v>30489.803447482074</v>
      </c>
      <c r="F110" s="736" t="s">
        <v>868</v>
      </c>
      <c r="G110" s="735">
        <f>C110/4+30+50+51.97</f>
        <v>631.97</v>
      </c>
      <c r="H110" s="735">
        <f>D110</f>
        <v>15.244901723741037</v>
      </c>
      <c r="I110" s="735">
        <f>G110*H110</f>
        <v>9634.3205423526233</v>
      </c>
      <c r="J110" s="719"/>
      <c r="K110" s="725"/>
      <c r="L110" s="719"/>
      <c r="M110" s="719"/>
      <c r="N110" s="719"/>
      <c r="O110" s="719"/>
      <c r="P110" s="748">
        <f>0</f>
        <v>0</v>
      </c>
      <c r="Q110" s="748">
        <f>0</f>
        <v>0</v>
      </c>
      <c r="R110" s="748">
        <f>0</f>
        <v>0</v>
      </c>
      <c r="S110" s="748">
        <f>0</f>
        <v>0</v>
      </c>
      <c r="T110" s="719"/>
      <c r="U110" s="749">
        <f>G110</f>
        <v>631.97</v>
      </c>
      <c r="V110" s="734">
        <f>15.24</f>
        <v>15.24</v>
      </c>
      <c r="W110" s="749">
        <f>U110*V110</f>
        <v>9631.2228000000014</v>
      </c>
      <c r="X110" s="720"/>
      <c r="Y110" s="720"/>
      <c r="Z110" s="720"/>
      <c r="AA110" s="720"/>
      <c r="AB110" s="720"/>
    </row>
    <row r="111" spans="1:28" ht="31.15" customHeight="1">
      <c r="A111" s="768" t="s">
        <v>869</v>
      </c>
      <c r="B111" s="831" t="s">
        <v>870</v>
      </c>
      <c r="C111" s="832">
        <f>15*4</f>
        <v>60</v>
      </c>
      <c r="D111" s="765">
        <f>'[3]Non Consultancy'!$H$6</f>
        <v>609.79606894964149</v>
      </c>
      <c r="E111" s="765">
        <f>D111*C111</f>
        <v>36587.764136978491</v>
      </c>
      <c r="F111" s="833" t="s">
        <v>870</v>
      </c>
      <c r="G111" s="765">
        <f>C111/4</f>
        <v>15</v>
      </c>
      <c r="H111" s="765">
        <f>D111</f>
        <v>609.79606894964149</v>
      </c>
      <c r="I111" s="765">
        <f>H111*G111</f>
        <v>9146.9410342446226</v>
      </c>
      <c r="J111" s="834"/>
      <c r="K111" s="835"/>
      <c r="L111" s="834"/>
      <c r="M111" s="834"/>
      <c r="N111" s="834"/>
      <c r="O111" s="834"/>
      <c r="P111" s="748">
        <f>0</f>
        <v>0</v>
      </c>
      <c r="Q111" s="836">
        <f>0</f>
        <v>0</v>
      </c>
      <c r="R111" s="836">
        <f>0</f>
        <v>0</v>
      </c>
      <c r="S111" s="836">
        <f>0</f>
        <v>0</v>
      </c>
      <c r="T111" s="834"/>
      <c r="U111" s="765">
        <v>15</v>
      </c>
      <c r="V111" s="744">
        <f>609.8</f>
        <v>609.79999999999995</v>
      </c>
      <c r="W111" s="749">
        <f>U111*V111</f>
        <v>9147</v>
      </c>
      <c r="X111" s="837"/>
      <c r="Y111" s="837"/>
      <c r="Z111" s="837"/>
      <c r="AA111" s="837"/>
      <c r="AB111" s="837"/>
    </row>
    <row r="112" spans="1:28" ht="17.25" customHeight="1">
      <c r="A112" s="715" t="s">
        <v>871</v>
      </c>
      <c r="B112" s="831"/>
      <c r="C112" s="828"/>
      <c r="D112" s="735"/>
      <c r="E112" s="735"/>
      <c r="F112" s="736"/>
      <c r="G112" s="735"/>
      <c r="H112" s="735"/>
      <c r="I112" s="737">
        <f>SUM(I113:I114)</f>
        <v>1000</v>
      </c>
      <c r="J112" s="737">
        <f t="shared" ref="J112:W112" si="53">SUM(J113:J114)</f>
        <v>0</v>
      </c>
      <c r="K112" s="737">
        <f t="shared" si="53"/>
        <v>0</v>
      </c>
      <c r="L112" s="737">
        <f t="shared" si="53"/>
        <v>0</v>
      </c>
      <c r="M112" s="737">
        <f t="shared" si="53"/>
        <v>0</v>
      </c>
      <c r="N112" s="737">
        <f t="shared" si="53"/>
        <v>0</v>
      </c>
      <c r="O112" s="737">
        <f t="shared" si="53"/>
        <v>0</v>
      </c>
      <c r="P112" s="737">
        <f t="shared" si="53"/>
        <v>43.36717193352613</v>
      </c>
      <c r="Q112" s="737">
        <f t="shared" si="53"/>
        <v>133.11848185170675</v>
      </c>
      <c r="R112" s="737">
        <f t="shared" si="53"/>
        <v>104.33610739728366</v>
      </c>
      <c r="S112" s="737">
        <f t="shared" si="53"/>
        <v>280.82176118251652</v>
      </c>
      <c r="T112" s="737">
        <f t="shared" si="53"/>
        <v>0</v>
      </c>
      <c r="U112" s="737">
        <f t="shared" si="53"/>
        <v>0</v>
      </c>
      <c r="V112" s="737">
        <f t="shared" si="53"/>
        <v>0</v>
      </c>
      <c r="W112" s="737">
        <f t="shared" si="53"/>
        <v>1000</v>
      </c>
      <c r="X112" s="720"/>
      <c r="Y112" s="720"/>
      <c r="Z112" s="720"/>
      <c r="AA112" s="720"/>
      <c r="AB112" s="720"/>
    </row>
    <row r="113" spans="1:28" ht="17.25" customHeight="1">
      <c r="A113" s="743" t="s">
        <v>872</v>
      </c>
      <c r="B113" s="831"/>
      <c r="C113" s="828"/>
      <c r="D113" s="735"/>
      <c r="E113" s="735"/>
      <c r="F113" s="736"/>
      <c r="G113" s="735"/>
      <c r="H113" s="735"/>
      <c r="I113" s="735"/>
      <c r="J113" s="719"/>
      <c r="K113" s="725"/>
      <c r="L113" s="719"/>
      <c r="M113" s="719"/>
      <c r="N113" s="719"/>
      <c r="O113" s="719"/>
      <c r="P113" s="748"/>
      <c r="Q113" s="748"/>
      <c r="R113" s="779"/>
      <c r="S113" s="719"/>
      <c r="T113" s="719"/>
      <c r="U113" s="719"/>
      <c r="V113" s="719"/>
      <c r="W113" s="719"/>
      <c r="X113" s="720"/>
      <c r="Y113" s="720"/>
      <c r="Z113" s="720"/>
      <c r="AA113" s="720"/>
      <c r="AB113" s="720"/>
    </row>
    <row r="114" spans="1:28" ht="28.5" customHeight="1">
      <c r="A114" s="743" t="s">
        <v>873</v>
      </c>
      <c r="B114" s="831"/>
      <c r="C114" s="828">
        <v>4</v>
      </c>
      <c r="D114" s="735">
        <f>1000</f>
        <v>1000</v>
      </c>
      <c r="E114" s="735">
        <f>C114*D114</f>
        <v>4000</v>
      </c>
      <c r="F114" s="736" t="s">
        <v>847</v>
      </c>
      <c r="G114" s="735">
        <v>1</v>
      </c>
      <c r="H114" s="735">
        <f>D114</f>
        <v>1000</v>
      </c>
      <c r="I114" s="735">
        <f>G114*H114</f>
        <v>1000</v>
      </c>
      <c r="J114" s="719"/>
      <c r="K114" s="725"/>
      <c r="L114" s="719"/>
      <c r="M114" s="719"/>
      <c r="N114" s="719"/>
      <c r="O114" s="719"/>
      <c r="P114" s="748">
        <f>('[2]Bank XOF'!G13+'[2]Bank XOF'!G14+'[2]Bank XOF'!G16+'[2]Bank XOF'!G17)/655.957</f>
        <v>43.36717193352613</v>
      </c>
      <c r="Q114" s="748">
        <f>('[2]Bank XOF'!G23+'[2]Bank XOF'!G37+'[2]Bank XOF'!G66+'[2]Bank XOF'!G74+'[2]Bank XOF'!G75+'[2]Bank XOF'!G89)/655.957</f>
        <v>133.11848185170675</v>
      </c>
      <c r="R114" s="748">
        <f>('[2]Bank XOF'!G129+'[2]Bank XOF'!G144+[2]Details!B6)/655.957+('[2]Bank XOF'!G233+'[2]Bank XOF'!G237)/655.957</f>
        <v>104.33610739728366</v>
      </c>
      <c r="S114" s="748">
        <f>P114+Q114+R114</f>
        <v>280.82176118251652</v>
      </c>
      <c r="T114" s="719"/>
      <c r="U114" s="751"/>
      <c r="V114" s="751"/>
      <c r="W114" s="751">
        <f>1000</f>
        <v>1000</v>
      </c>
      <c r="X114" s="720"/>
      <c r="Y114" s="720"/>
      <c r="Z114" s="720"/>
      <c r="AA114" s="720"/>
      <c r="AB114" s="720"/>
    </row>
    <row r="115" spans="1:28" s="821" customFormat="1" ht="17.25" customHeight="1">
      <c r="A115" s="761" t="s">
        <v>1305</v>
      </c>
      <c r="B115" s="838"/>
      <c r="C115" s="830"/>
      <c r="D115" s="737"/>
      <c r="E115" s="737">
        <f>E116</f>
        <v>240000</v>
      </c>
      <c r="F115" s="727" t="s">
        <v>847</v>
      </c>
      <c r="G115" s="737"/>
      <c r="H115" s="737"/>
      <c r="I115" s="737">
        <f>I116</f>
        <v>60000</v>
      </c>
      <c r="J115" s="737">
        <f t="shared" ref="J115:W115" si="54">J116</f>
        <v>0</v>
      </c>
      <c r="K115" s="737">
        <f t="shared" si="54"/>
        <v>0</v>
      </c>
      <c r="L115" s="737">
        <f t="shared" si="54"/>
        <v>0</v>
      </c>
      <c r="M115" s="737">
        <f t="shared" si="54"/>
        <v>0</v>
      </c>
      <c r="N115" s="737">
        <f t="shared" si="54"/>
        <v>0</v>
      </c>
      <c r="O115" s="737">
        <f t="shared" si="54"/>
        <v>0</v>
      </c>
      <c r="P115" s="737">
        <f t="shared" si="54"/>
        <v>0</v>
      </c>
      <c r="Q115" s="737">
        <f t="shared" si="54"/>
        <v>0</v>
      </c>
      <c r="R115" s="737">
        <f t="shared" si="54"/>
        <v>0</v>
      </c>
      <c r="S115" s="737">
        <f t="shared" si="54"/>
        <v>0</v>
      </c>
      <c r="T115" s="737">
        <f t="shared" si="54"/>
        <v>0</v>
      </c>
      <c r="U115" s="737">
        <f t="shared" si="54"/>
        <v>5</v>
      </c>
      <c r="V115" s="737">
        <f t="shared" si="54"/>
        <v>6000</v>
      </c>
      <c r="W115" s="737">
        <f t="shared" si="54"/>
        <v>30000</v>
      </c>
      <c r="X115" s="782"/>
      <c r="Y115" s="782"/>
      <c r="Z115" s="782"/>
      <c r="AA115" s="782"/>
      <c r="AB115" s="782"/>
    </row>
    <row r="116" spans="1:28" ht="56.25" customHeight="1">
      <c r="A116" s="743" t="s">
        <v>874</v>
      </c>
      <c r="B116" s="831" t="s">
        <v>875</v>
      </c>
      <c r="C116" s="828">
        <f>(2+20+2+2+4+4+2+4)</f>
        <v>40</v>
      </c>
      <c r="D116" s="735">
        <f>6000</f>
        <v>6000</v>
      </c>
      <c r="E116" s="735">
        <f>C116*D116</f>
        <v>240000</v>
      </c>
      <c r="F116" s="736" t="s">
        <v>847</v>
      </c>
      <c r="G116" s="735">
        <f>C116/4</f>
        <v>10</v>
      </c>
      <c r="H116" s="735">
        <f>D116</f>
        <v>6000</v>
      </c>
      <c r="I116" s="735">
        <f>G116*H116</f>
        <v>60000</v>
      </c>
      <c r="J116" s="719"/>
      <c r="K116" s="725"/>
      <c r="L116" s="719"/>
      <c r="M116" s="719"/>
      <c r="N116" s="719"/>
      <c r="O116" s="719"/>
      <c r="P116" s="748">
        <f>0</f>
        <v>0</v>
      </c>
      <c r="Q116" s="748">
        <f>0</f>
        <v>0</v>
      </c>
      <c r="R116" s="748">
        <f>0</f>
        <v>0</v>
      </c>
      <c r="S116" s="748">
        <f>P116+Q116+R116</f>
        <v>0</v>
      </c>
      <c r="T116" s="719"/>
      <c r="U116" s="749">
        <f>5</f>
        <v>5</v>
      </c>
      <c r="V116" s="749">
        <f>6000</f>
        <v>6000</v>
      </c>
      <c r="W116" s="749">
        <f>U116*V116</f>
        <v>30000</v>
      </c>
      <c r="X116" s="720"/>
      <c r="Y116" s="720"/>
      <c r="Z116" s="720"/>
      <c r="AA116" s="720"/>
      <c r="AB116" s="720"/>
    </row>
    <row r="117" spans="1:28" ht="12.75" customHeight="1">
      <c r="A117" s="768"/>
      <c r="B117" s="831"/>
      <c r="C117" s="828"/>
      <c r="D117" s="735"/>
      <c r="E117" s="735"/>
      <c r="F117" s="736"/>
      <c r="G117" s="735"/>
      <c r="H117" s="735"/>
      <c r="I117" s="737"/>
      <c r="J117" s="719"/>
      <c r="K117" s="725"/>
      <c r="L117" s="719"/>
      <c r="M117" s="719"/>
      <c r="N117" s="719"/>
      <c r="O117" s="719"/>
      <c r="P117" s="748"/>
      <c r="Q117" s="748"/>
      <c r="R117" s="779"/>
      <c r="S117" s="719"/>
      <c r="T117" s="719"/>
      <c r="U117" s="719"/>
      <c r="V117" s="719"/>
      <c r="W117" s="719"/>
      <c r="X117" s="720"/>
      <c r="Y117" s="720"/>
      <c r="Z117" s="720"/>
      <c r="AA117" s="720"/>
      <c r="AB117" s="720"/>
    </row>
    <row r="118" spans="1:28" s="821" customFormat="1" ht="18.75" customHeight="1">
      <c r="A118" s="761" t="s">
        <v>1306</v>
      </c>
      <c r="B118" s="838"/>
      <c r="C118" s="830"/>
      <c r="D118" s="737"/>
      <c r="E118" s="737">
        <f>E119+E120</f>
        <v>32000</v>
      </c>
      <c r="F118" s="727"/>
      <c r="G118" s="737"/>
      <c r="H118" s="737"/>
      <c r="I118" s="737">
        <f>I119+I120</f>
        <v>6000</v>
      </c>
      <c r="J118" s="737">
        <f t="shared" ref="J118:W118" si="55">J119+J120</f>
        <v>0</v>
      </c>
      <c r="K118" s="737">
        <f t="shared" si="55"/>
        <v>0</v>
      </c>
      <c r="L118" s="737">
        <f t="shared" si="55"/>
        <v>0</v>
      </c>
      <c r="M118" s="737">
        <f t="shared" si="55"/>
        <v>0</v>
      </c>
      <c r="N118" s="737">
        <f t="shared" si="55"/>
        <v>0</v>
      </c>
      <c r="O118" s="737">
        <f t="shared" si="55"/>
        <v>0</v>
      </c>
      <c r="P118" s="737">
        <f t="shared" si="55"/>
        <v>0</v>
      </c>
      <c r="Q118" s="737">
        <f t="shared" si="55"/>
        <v>0</v>
      </c>
      <c r="R118" s="737">
        <f t="shared" si="55"/>
        <v>2225.7556516661916</v>
      </c>
      <c r="S118" s="737">
        <f t="shared" si="55"/>
        <v>2225.7556516661916</v>
      </c>
      <c r="T118" s="737">
        <f t="shared" si="55"/>
        <v>0</v>
      </c>
      <c r="U118" s="737">
        <f t="shared" si="55"/>
        <v>2</v>
      </c>
      <c r="V118" s="737">
        <f t="shared" si="55"/>
        <v>14000</v>
      </c>
      <c r="W118" s="737">
        <f t="shared" si="55"/>
        <v>14000</v>
      </c>
      <c r="X118" s="782"/>
      <c r="Y118" s="782"/>
      <c r="Z118" s="782"/>
      <c r="AA118" s="782"/>
      <c r="AB118" s="782"/>
    </row>
    <row r="119" spans="1:28" ht="30.75" customHeight="1">
      <c r="A119" s="743" t="s">
        <v>876</v>
      </c>
      <c r="B119" s="831" t="s">
        <v>847</v>
      </c>
      <c r="C119" s="828">
        <v>4</v>
      </c>
      <c r="D119" s="735">
        <v>3000</v>
      </c>
      <c r="E119" s="735">
        <f>C119*D119</f>
        <v>12000</v>
      </c>
      <c r="F119" s="736" t="s">
        <v>847</v>
      </c>
      <c r="G119" s="735">
        <v>1</v>
      </c>
      <c r="H119" s="735">
        <v>2000</v>
      </c>
      <c r="I119" s="735">
        <f>G119*H119</f>
        <v>2000</v>
      </c>
      <c r="J119" s="719"/>
      <c r="K119" s="725"/>
      <c r="L119" s="719"/>
      <c r="M119" s="719"/>
      <c r="N119" s="719"/>
      <c r="O119" s="719"/>
      <c r="P119" s="748">
        <f>0</f>
        <v>0</v>
      </c>
      <c r="Q119" s="748">
        <f>0</f>
        <v>0</v>
      </c>
      <c r="R119" s="748">
        <f>0</f>
        <v>0</v>
      </c>
      <c r="S119" s="751">
        <f>P119+Q119+R119</f>
        <v>0</v>
      </c>
      <c r="T119" s="719"/>
      <c r="U119" s="736">
        <v>1</v>
      </c>
      <c r="V119" s="749">
        <f>4000</f>
        <v>4000</v>
      </c>
      <c r="W119" s="749">
        <f>U119*V119</f>
        <v>4000</v>
      </c>
      <c r="X119" s="720"/>
      <c r="Y119" s="720"/>
      <c r="Z119" s="720"/>
      <c r="AA119" s="720"/>
      <c r="AB119" s="720"/>
    </row>
    <row r="120" spans="1:28" ht="30.75" customHeight="1">
      <c r="A120" s="743" t="s">
        <v>877</v>
      </c>
      <c r="B120" s="831" t="s">
        <v>847</v>
      </c>
      <c r="C120" s="828">
        <v>4</v>
      </c>
      <c r="D120" s="735">
        <v>5000</v>
      </c>
      <c r="E120" s="735">
        <f>C120*D120</f>
        <v>20000</v>
      </c>
      <c r="F120" s="736" t="s">
        <v>847</v>
      </c>
      <c r="G120" s="735">
        <v>1</v>
      </c>
      <c r="H120" s="735">
        <v>4000</v>
      </c>
      <c r="I120" s="735">
        <f>G120*H120</f>
        <v>4000</v>
      </c>
      <c r="J120" s="719"/>
      <c r="K120" s="725"/>
      <c r="L120" s="719"/>
      <c r="M120" s="719"/>
      <c r="N120" s="719"/>
      <c r="O120" s="719"/>
      <c r="P120" s="748">
        <f>0</f>
        <v>0</v>
      </c>
      <c r="Q120" s="748">
        <f>0</f>
        <v>0</v>
      </c>
      <c r="R120" s="748">
        <f>'[2]Bank XOF'!G172/655.957</f>
        <v>2225.7556516661916</v>
      </c>
      <c r="S120" s="751">
        <f>P120+Q120+R120</f>
        <v>2225.7556516661916</v>
      </c>
      <c r="T120" s="719"/>
      <c r="U120" s="736">
        <v>1</v>
      </c>
      <c r="V120" s="748">
        <f>10000</f>
        <v>10000</v>
      </c>
      <c r="W120" s="748">
        <f>U120*V120</f>
        <v>10000</v>
      </c>
      <c r="X120" s="720"/>
      <c r="Y120" s="720"/>
      <c r="Z120" s="720"/>
      <c r="AA120" s="720"/>
      <c r="AB120" s="720"/>
    </row>
    <row r="121" spans="1:28" ht="15.75" customHeight="1">
      <c r="A121" s="839" t="s">
        <v>1307</v>
      </c>
      <c r="B121" s="840"/>
      <c r="C121" s="841"/>
      <c r="D121" s="842"/>
      <c r="E121" s="843">
        <f>E118+E115+E109+E106+E100</f>
        <v>609477.5675844606</v>
      </c>
      <c r="F121" s="844"/>
      <c r="G121" s="842"/>
      <c r="H121" s="842"/>
      <c r="I121" s="843">
        <f>I99+I100+I106+I108+I109+I112+I115+I118</f>
        <v>270381.26157659723</v>
      </c>
      <c r="J121" s="843">
        <f t="shared" ref="J121:W121" si="56">J99+J100+J106+J108+J109+J112+J115+J118</f>
        <v>0</v>
      </c>
      <c r="K121" s="843">
        <f t="shared" si="56"/>
        <v>0</v>
      </c>
      <c r="L121" s="843">
        <f t="shared" si="56"/>
        <v>0</v>
      </c>
      <c r="M121" s="843">
        <f t="shared" si="56"/>
        <v>0</v>
      </c>
      <c r="N121" s="843">
        <f t="shared" si="56"/>
        <v>0</v>
      </c>
      <c r="O121" s="843">
        <f t="shared" si="56"/>
        <v>0</v>
      </c>
      <c r="P121" s="843">
        <f t="shared" si="56"/>
        <v>43.36717193352613</v>
      </c>
      <c r="Q121" s="843">
        <f t="shared" si="56"/>
        <v>133.11848185170675</v>
      </c>
      <c r="R121" s="843">
        <f t="shared" si="56"/>
        <v>2330.0917590634754</v>
      </c>
      <c r="S121" s="843">
        <f t="shared" si="56"/>
        <v>2506.5774128487083</v>
      </c>
      <c r="T121" s="843">
        <f t="shared" si="56"/>
        <v>0</v>
      </c>
      <c r="U121" s="843">
        <f t="shared" si="56"/>
        <v>857.47</v>
      </c>
      <c r="V121" s="843">
        <f t="shared" si="56"/>
        <v>36625.040000000001</v>
      </c>
      <c r="W121" s="843">
        <f t="shared" si="56"/>
        <v>262778.22279999999</v>
      </c>
      <c r="X121" s="720"/>
      <c r="Y121" s="720"/>
      <c r="Z121" s="720"/>
      <c r="AA121" s="720"/>
      <c r="AB121" s="720"/>
    </row>
    <row r="122" spans="1:28" ht="15.75" customHeight="1">
      <c r="A122" s="773" t="s">
        <v>878</v>
      </c>
      <c r="B122" s="845"/>
      <c r="C122" s="846"/>
      <c r="D122" s="847"/>
      <c r="E122" s="847"/>
      <c r="F122" s="848"/>
      <c r="G122" s="847"/>
      <c r="H122" s="847"/>
      <c r="I122" s="849"/>
      <c r="J122" s="849"/>
      <c r="K122" s="849"/>
      <c r="L122" s="849"/>
      <c r="M122" s="849"/>
      <c r="N122" s="849"/>
      <c r="O122" s="849"/>
      <c r="P122" s="849"/>
      <c r="Q122" s="849"/>
      <c r="R122" s="849"/>
      <c r="S122" s="849"/>
      <c r="T122" s="849"/>
      <c r="U122" s="849"/>
      <c r="V122" s="849"/>
      <c r="W122" s="849"/>
      <c r="X122" s="720"/>
      <c r="Y122" s="720"/>
      <c r="Z122" s="720"/>
      <c r="AA122" s="720"/>
      <c r="AB122" s="720"/>
    </row>
    <row r="123" spans="1:28" ht="15.75" customHeight="1">
      <c r="A123" s="768" t="s">
        <v>879</v>
      </c>
      <c r="B123" s="827" t="s">
        <v>880</v>
      </c>
      <c r="C123" s="828"/>
      <c r="D123" s="850"/>
      <c r="E123" s="850"/>
      <c r="F123" s="851"/>
      <c r="G123" s="850"/>
      <c r="H123" s="850"/>
      <c r="I123" s="735"/>
      <c r="J123" s="719"/>
      <c r="K123" s="725"/>
      <c r="L123" s="719"/>
      <c r="M123" s="719"/>
      <c r="N123" s="719"/>
      <c r="O123" s="719"/>
      <c r="P123" s="748"/>
      <c r="Q123" s="748"/>
      <c r="R123" s="780"/>
      <c r="S123" s="719"/>
      <c r="T123" s="719"/>
      <c r="U123" s="719"/>
      <c r="V123" s="719"/>
      <c r="W123" s="719"/>
      <c r="X123" s="720"/>
      <c r="Y123" s="720"/>
      <c r="Z123" s="720"/>
      <c r="AA123" s="720"/>
      <c r="AB123" s="720"/>
    </row>
    <row r="124" spans="1:28" ht="65.45" customHeight="1">
      <c r="A124" s="768" t="s">
        <v>881</v>
      </c>
      <c r="B124" s="827" t="s">
        <v>880</v>
      </c>
      <c r="C124" s="828">
        <f>15</f>
        <v>15</v>
      </c>
      <c r="D124" s="735">
        <f>1000</f>
        <v>1000</v>
      </c>
      <c r="E124" s="735">
        <f>C124*D124</f>
        <v>15000</v>
      </c>
      <c r="F124" s="736" t="s">
        <v>880</v>
      </c>
      <c r="G124" s="735">
        <f>C124/2</f>
        <v>7.5</v>
      </c>
      <c r="H124" s="735">
        <f>D124</f>
        <v>1000</v>
      </c>
      <c r="I124" s="737">
        <f>G124*H124</f>
        <v>7500</v>
      </c>
      <c r="J124" s="719"/>
      <c r="K124" s="725"/>
      <c r="L124" s="719"/>
      <c r="M124" s="719"/>
      <c r="N124" s="719"/>
      <c r="O124" s="719"/>
      <c r="P124" s="795">
        <f>0</f>
        <v>0</v>
      </c>
      <c r="Q124" s="795">
        <f>'[2]Bank XOF'!G65/655.957</f>
        <v>548.81646205467734</v>
      </c>
      <c r="R124" s="795">
        <f>'[2]Bank XOF'!G122/655.957</f>
        <v>129.58166465179883</v>
      </c>
      <c r="S124" s="795">
        <f>P124+Q124+R124</f>
        <v>678.39812670647621</v>
      </c>
      <c r="T124" s="719"/>
      <c r="U124" s="748">
        <v>1</v>
      </c>
      <c r="V124" s="748">
        <f>1000</f>
        <v>1000</v>
      </c>
      <c r="W124" s="795">
        <f>U124*V124</f>
        <v>1000</v>
      </c>
      <c r="X124" s="720"/>
      <c r="Y124" s="720"/>
      <c r="Z124" s="720"/>
      <c r="AA124" s="720"/>
      <c r="AB124" s="720"/>
    </row>
    <row r="125" spans="1:28" ht="21.75" customHeight="1">
      <c r="A125" s="768"/>
      <c r="B125" s="827"/>
      <c r="C125" s="828"/>
      <c r="D125" s="735"/>
      <c r="E125" s="735"/>
      <c r="F125" s="736"/>
      <c r="G125" s="735"/>
      <c r="H125" s="735"/>
      <c r="I125" s="737"/>
      <c r="J125" s="719"/>
      <c r="K125" s="725"/>
      <c r="L125" s="719"/>
      <c r="M125" s="719"/>
      <c r="N125" s="719"/>
      <c r="O125" s="719"/>
      <c r="P125" s="748"/>
      <c r="Q125" s="748"/>
      <c r="R125" s="780"/>
      <c r="S125" s="719"/>
      <c r="T125" s="719"/>
      <c r="U125" s="719"/>
      <c r="V125" s="719"/>
      <c r="W125" s="719"/>
      <c r="X125" s="720"/>
      <c r="Y125" s="720"/>
      <c r="Z125" s="720"/>
      <c r="AA125" s="720"/>
      <c r="AB125" s="720"/>
    </row>
    <row r="126" spans="1:28" ht="15.75" customHeight="1">
      <c r="A126" s="783" t="s">
        <v>882</v>
      </c>
      <c r="B126" s="784"/>
      <c r="C126" s="785"/>
      <c r="D126" s="786"/>
      <c r="E126" s="786">
        <f>SUM(E122:E125)</f>
        <v>15000</v>
      </c>
      <c r="F126" s="786"/>
      <c r="G126" s="786"/>
      <c r="H126" s="786"/>
      <c r="I126" s="786">
        <f>SUM(I122:I125)</f>
        <v>7500</v>
      </c>
      <c r="J126" s="786">
        <f t="shared" ref="J126:W126" si="57">SUM(J122:J125)</f>
        <v>0</v>
      </c>
      <c r="K126" s="786">
        <f t="shared" si="57"/>
        <v>0</v>
      </c>
      <c r="L126" s="786">
        <f t="shared" si="57"/>
        <v>0</v>
      </c>
      <c r="M126" s="786">
        <f t="shared" si="57"/>
        <v>0</v>
      </c>
      <c r="N126" s="786">
        <f t="shared" si="57"/>
        <v>0</v>
      </c>
      <c r="O126" s="786">
        <f t="shared" si="57"/>
        <v>0</v>
      </c>
      <c r="P126" s="786">
        <f t="shared" si="57"/>
        <v>0</v>
      </c>
      <c r="Q126" s="786">
        <f t="shared" si="57"/>
        <v>548.81646205467734</v>
      </c>
      <c r="R126" s="786">
        <f t="shared" si="57"/>
        <v>129.58166465179883</v>
      </c>
      <c r="S126" s="786">
        <f t="shared" si="57"/>
        <v>678.39812670647621</v>
      </c>
      <c r="T126" s="786">
        <f t="shared" si="57"/>
        <v>0</v>
      </c>
      <c r="U126" s="786"/>
      <c r="V126" s="786">
        <f t="shared" si="57"/>
        <v>1000</v>
      </c>
      <c r="W126" s="786">
        <f t="shared" si="57"/>
        <v>1000</v>
      </c>
      <c r="X126" s="720"/>
      <c r="Y126" s="720"/>
      <c r="Z126" s="720"/>
      <c r="AA126" s="720"/>
      <c r="AB126" s="720"/>
    </row>
    <row r="127" spans="1:28" ht="15.75" customHeight="1">
      <c r="A127" s="852" t="s">
        <v>883</v>
      </c>
      <c r="B127" s="853"/>
      <c r="C127" s="854"/>
      <c r="D127" s="855"/>
      <c r="E127" s="856">
        <f>E42+E70+E86+E97+E121+E126</f>
        <v>4210764.680938486</v>
      </c>
      <c r="F127" s="856"/>
      <c r="G127" s="856"/>
      <c r="H127" s="856"/>
      <c r="I127" s="856">
        <f>I42+I70+I86+I97+I121+I126</f>
        <v>1554760.15020291</v>
      </c>
      <c r="J127" s="856">
        <f t="shared" ref="J127:W127" si="58">J42+J70+J86+J97+J121+J126</f>
        <v>5140970225</v>
      </c>
      <c r="K127" s="856">
        <f t="shared" si="58"/>
        <v>302346838932107.75</v>
      </c>
      <c r="L127" s="856">
        <f t="shared" si="58"/>
        <v>1.1856830039776645E+24</v>
      </c>
      <c r="M127" s="856">
        <f t="shared" si="58"/>
        <v>3.1934873632890637E+38</v>
      </c>
      <c r="N127" s="856">
        <f t="shared" si="58"/>
        <v>3.6973846339258748E+62</v>
      </c>
      <c r="O127" s="856">
        <f t="shared" si="58"/>
        <v>1.1780956051830964E+101</v>
      </c>
      <c r="P127" s="856">
        <f t="shared" si="58"/>
        <v>4.3556615465013583E+163</v>
      </c>
      <c r="Q127" s="856">
        <f t="shared" si="58"/>
        <v>5.1313851775366706E+264</v>
      </c>
      <c r="R127" s="856" t="e">
        <f t="shared" si="58"/>
        <v>#NUM!</v>
      </c>
      <c r="S127" s="856" t="e">
        <f t="shared" si="58"/>
        <v>#NUM!</v>
      </c>
      <c r="T127" s="856" t="e">
        <f t="shared" si="58"/>
        <v>#NUM!</v>
      </c>
      <c r="U127" s="856"/>
      <c r="V127" s="856">
        <f t="shared" si="58"/>
        <v>275098.00568670512</v>
      </c>
      <c r="W127" s="856">
        <f t="shared" si="58"/>
        <v>1276057.1690149247</v>
      </c>
      <c r="X127" s="720"/>
      <c r="Y127" s="720"/>
      <c r="Z127" s="720"/>
      <c r="AA127" s="720"/>
      <c r="AB127" s="720"/>
    </row>
    <row r="128" spans="1:28" ht="29.25" customHeight="1">
      <c r="A128" s="768" t="s">
        <v>884</v>
      </c>
      <c r="B128" s="733"/>
      <c r="C128" s="734"/>
      <c r="D128" s="735"/>
      <c r="E128" s="765">
        <f>E127*J128</f>
        <v>865896633967455.25</v>
      </c>
      <c r="F128" s="744"/>
      <c r="G128" s="765"/>
      <c r="H128" s="765"/>
      <c r="I128" s="857">
        <f>I127*0.04</f>
        <v>62190.406008116399</v>
      </c>
      <c r="J128" s="857">
        <f t="shared" ref="J128:W128" si="59">J127*0.04</f>
        <v>205638809</v>
      </c>
      <c r="K128" s="857">
        <f t="shared" si="59"/>
        <v>12093873557284.311</v>
      </c>
      <c r="L128" s="857">
        <f t="shared" si="59"/>
        <v>4.742732015910658E+22</v>
      </c>
      <c r="M128" s="857">
        <f t="shared" si="59"/>
        <v>1.2773949453156254E+37</v>
      </c>
      <c r="N128" s="857">
        <f t="shared" si="59"/>
        <v>1.4789538535703498E+61</v>
      </c>
      <c r="O128" s="857">
        <f t="shared" si="59"/>
        <v>4.7123824207323859E+99</v>
      </c>
      <c r="P128" s="857">
        <f t="shared" si="59"/>
        <v>1.7422646186005434E+162</v>
      </c>
      <c r="Q128" s="857">
        <f t="shared" si="59"/>
        <v>2.0525540710146682E+263</v>
      </c>
      <c r="R128" s="857" t="e">
        <f t="shared" si="59"/>
        <v>#NUM!</v>
      </c>
      <c r="S128" s="857" t="e">
        <f t="shared" si="59"/>
        <v>#NUM!</v>
      </c>
      <c r="T128" s="857" t="e">
        <f t="shared" si="59"/>
        <v>#NUM!</v>
      </c>
      <c r="U128" s="857"/>
      <c r="V128" s="857">
        <f t="shared" si="59"/>
        <v>11003.920227468205</v>
      </c>
      <c r="W128" s="857">
        <f t="shared" si="59"/>
        <v>51042.286760596988</v>
      </c>
      <c r="X128" s="720"/>
      <c r="Y128" s="720"/>
      <c r="Z128" s="720"/>
      <c r="AA128" s="720"/>
      <c r="AB128" s="720"/>
    </row>
    <row r="129" spans="1:28" ht="15.75" customHeight="1">
      <c r="A129" s="852" t="s">
        <v>885</v>
      </c>
      <c r="B129" s="858"/>
      <c r="C129" s="859"/>
      <c r="D129" s="860"/>
      <c r="E129" s="861">
        <f>E127+E128</f>
        <v>865896638178219.88</v>
      </c>
      <c r="F129" s="862"/>
      <c r="G129" s="863"/>
      <c r="H129" s="862"/>
      <c r="I129" s="861">
        <f>I127+I128</f>
        <v>1616950.5562110264</v>
      </c>
      <c r="J129" s="861">
        <f t="shared" ref="J129:W129" si="60">J127+J128</f>
        <v>5346609034</v>
      </c>
      <c r="K129" s="861">
        <f t="shared" si="60"/>
        <v>314440712489392.06</v>
      </c>
      <c r="L129" s="861">
        <f t="shared" si="60"/>
        <v>1.2331103241367709E+24</v>
      </c>
      <c r="M129" s="861">
        <f t="shared" si="60"/>
        <v>3.3212268578206264E+38</v>
      </c>
      <c r="N129" s="861">
        <f t="shared" si="60"/>
        <v>3.84528001928291E+62</v>
      </c>
      <c r="O129" s="861">
        <f t="shared" si="60"/>
        <v>1.2252194293904203E+101</v>
      </c>
      <c r="P129" s="861">
        <f t="shared" si="60"/>
        <v>4.5298880083614124E+163</v>
      </c>
      <c r="Q129" s="861">
        <f t="shared" si="60"/>
        <v>5.3366405846381372E+264</v>
      </c>
      <c r="R129" s="861" t="e">
        <f t="shared" si="60"/>
        <v>#NUM!</v>
      </c>
      <c r="S129" s="861" t="e">
        <f t="shared" si="60"/>
        <v>#NUM!</v>
      </c>
      <c r="T129" s="861" t="e">
        <f t="shared" si="60"/>
        <v>#NUM!</v>
      </c>
      <c r="U129" s="861"/>
      <c r="V129" s="861">
        <f t="shared" si="60"/>
        <v>286101.92591417331</v>
      </c>
      <c r="W129" s="861">
        <f t="shared" si="60"/>
        <v>1327099.4557755217</v>
      </c>
      <c r="X129" s="720"/>
      <c r="Y129" s="720"/>
      <c r="Z129" s="720"/>
      <c r="AA129" s="720"/>
      <c r="AB129" s="720"/>
    </row>
    <row r="130" spans="1:28" ht="23.45" customHeight="1">
      <c r="A130" s="768" t="s">
        <v>886</v>
      </c>
      <c r="B130" s="733"/>
      <c r="C130" s="734"/>
      <c r="D130" s="735"/>
      <c r="E130" s="857">
        <f>E129*0.05</f>
        <v>43294831908911</v>
      </c>
      <c r="F130" s="744"/>
      <c r="G130" s="765"/>
      <c r="H130" s="744"/>
      <c r="I130" s="864">
        <f>I129*0.05</f>
        <v>80847.527810551328</v>
      </c>
      <c r="J130" s="864">
        <f t="shared" ref="J130:W130" si="61">J129*0.05</f>
        <v>267330451.70000002</v>
      </c>
      <c r="K130" s="864">
        <f t="shared" si="61"/>
        <v>15722035624469.604</v>
      </c>
      <c r="L130" s="864">
        <f t="shared" si="61"/>
        <v>6.1655516206838552E+22</v>
      </c>
      <c r="M130" s="864">
        <f t="shared" si="61"/>
        <v>1.6606134289103133E+37</v>
      </c>
      <c r="N130" s="864">
        <f t="shared" si="61"/>
        <v>1.922640009641455E+61</v>
      </c>
      <c r="O130" s="864">
        <f t="shared" si="61"/>
        <v>6.1260971469521017E+99</v>
      </c>
      <c r="P130" s="864">
        <f t="shared" si="61"/>
        <v>2.2649440041807065E+162</v>
      </c>
      <c r="Q130" s="864">
        <f t="shared" si="61"/>
        <v>2.6683202923190685E+263</v>
      </c>
      <c r="R130" s="864" t="e">
        <f t="shared" si="61"/>
        <v>#NUM!</v>
      </c>
      <c r="S130" s="864" t="e">
        <f t="shared" si="61"/>
        <v>#NUM!</v>
      </c>
      <c r="T130" s="864" t="e">
        <f t="shared" si="61"/>
        <v>#NUM!</v>
      </c>
      <c r="U130" s="864"/>
      <c r="V130" s="864">
        <f t="shared" si="61"/>
        <v>14305.096295708667</v>
      </c>
      <c r="W130" s="864">
        <f t="shared" si="61"/>
        <v>66354.972788776082</v>
      </c>
      <c r="X130" s="720"/>
      <c r="Y130" s="720"/>
      <c r="Z130" s="720"/>
      <c r="AA130" s="720"/>
      <c r="AB130" s="720"/>
    </row>
    <row r="131" spans="1:28" ht="15.75" customHeight="1">
      <c r="A131" s="852" t="s">
        <v>887</v>
      </c>
      <c r="B131" s="858"/>
      <c r="C131" s="859"/>
      <c r="D131" s="860"/>
      <c r="E131" s="860">
        <f>E129+E130</f>
        <v>909191470087130.88</v>
      </c>
      <c r="F131" s="859"/>
      <c r="G131" s="860"/>
      <c r="H131" s="859"/>
      <c r="I131" s="865">
        <f>I129+I130</f>
        <v>1697798.0840215776</v>
      </c>
      <c r="J131" s="865">
        <f t="shared" ref="J131:W131" si="62">J129+J130</f>
        <v>5613939485.6999998</v>
      </c>
      <c r="K131" s="865">
        <f t="shared" si="62"/>
        <v>330162748113861.69</v>
      </c>
      <c r="L131" s="865">
        <f t="shared" si="62"/>
        <v>1.2947658403436095E+24</v>
      </c>
      <c r="M131" s="865">
        <f t="shared" si="62"/>
        <v>3.487288200711658E+38</v>
      </c>
      <c r="N131" s="865">
        <f t="shared" si="62"/>
        <v>4.0375440202470558E+62</v>
      </c>
      <c r="O131" s="865">
        <f t="shared" si="62"/>
        <v>1.2864804008599413E+101</v>
      </c>
      <c r="P131" s="865">
        <f t="shared" si="62"/>
        <v>4.7563824087794834E+163</v>
      </c>
      <c r="Q131" s="865">
        <f t="shared" si="62"/>
        <v>5.6034726138700443E+264</v>
      </c>
      <c r="R131" s="865" t="e">
        <f t="shared" si="62"/>
        <v>#NUM!</v>
      </c>
      <c r="S131" s="865" t="e">
        <f t="shared" si="62"/>
        <v>#NUM!</v>
      </c>
      <c r="T131" s="865" t="e">
        <f t="shared" si="62"/>
        <v>#NUM!</v>
      </c>
      <c r="U131" s="865"/>
      <c r="V131" s="865">
        <f t="shared" si="62"/>
        <v>300407.02220988198</v>
      </c>
      <c r="W131" s="865">
        <f t="shared" si="62"/>
        <v>1393454.4285642977</v>
      </c>
      <c r="X131" s="720"/>
      <c r="Y131" s="720"/>
      <c r="Z131" s="720"/>
      <c r="AA131" s="720"/>
      <c r="AB131" s="720"/>
    </row>
    <row r="132" spans="1:28" ht="34.5" customHeight="1">
      <c r="A132" s="866" t="s">
        <v>1308</v>
      </c>
      <c r="B132" s="867"/>
      <c r="C132" s="868"/>
      <c r="D132" s="869"/>
      <c r="E132" s="870"/>
      <c r="F132" s="868"/>
      <c r="G132" s="869"/>
      <c r="H132" s="868"/>
      <c r="I132" s="871">
        <f>E132/4</f>
        <v>0</v>
      </c>
      <c r="J132" s="871">
        <f t="shared" ref="J132:W132" si="63">F132/4</f>
        <v>0</v>
      </c>
      <c r="K132" s="871">
        <f t="shared" si="63"/>
        <v>0</v>
      </c>
      <c r="L132" s="871">
        <f t="shared" si="63"/>
        <v>0</v>
      </c>
      <c r="M132" s="871">
        <f t="shared" si="63"/>
        <v>0</v>
      </c>
      <c r="N132" s="871">
        <f t="shared" si="63"/>
        <v>0</v>
      </c>
      <c r="O132" s="871">
        <f t="shared" si="63"/>
        <v>0</v>
      </c>
      <c r="P132" s="871">
        <f t="shared" si="63"/>
        <v>0</v>
      </c>
      <c r="Q132" s="871">
        <f t="shared" si="63"/>
        <v>0</v>
      </c>
      <c r="R132" s="871">
        <f t="shared" si="63"/>
        <v>0</v>
      </c>
      <c r="S132" s="871">
        <f t="shared" si="63"/>
        <v>0</v>
      </c>
      <c r="T132" s="871">
        <f t="shared" si="63"/>
        <v>0</v>
      </c>
      <c r="U132" s="871"/>
      <c r="V132" s="871">
        <f t="shared" si="63"/>
        <v>0</v>
      </c>
      <c r="W132" s="871">
        <f t="shared" si="63"/>
        <v>0</v>
      </c>
      <c r="X132" s="720"/>
      <c r="Y132" s="720"/>
      <c r="Z132" s="720"/>
      <c r="AA132" s="720"/>
      <c r="AB132" s="720"/>
    </row>
    <row r="133" spans="1:28" ht="15.75" customHeight="1">
      <c r="A133" s="852" t="s">
        <v>1309</v>
      </c>
      <c r="B133" s="858"/>
      <c r="C133" s="859"/>
      <c r="D133" s="860"/>
      <c r="E133" s="860">
        <f>E132+E131</f>
        <v>909191470087130.88</v>
      </c>
      <c r="F133" s="859"/>
      <c r="G133" s="860"/>
      <c r="H133" s="859"/>
      <c r="I133" s="872">
        <f>I132+I131</f>
        <v>1697798.0840215776</v>
      </c>
      <c r="J133" s="872">
        <f t="shared" ref="J133:W133" si="64">J132+J131</f>
        <v>5613939485.6999998</v>
      </c>
      <c r="K133" s="872">
        <f t="shared" si="64"/>
        <v>330162748113861.69</v>
      </c>
      <c r="L133" s="872">
        <f t="shared" si="64"/>
        <v>1.2947658403436095E+24</v>
      </c>
      <c r="M133" s="872">
        <f t="shared" si="64"/>
        <v>3.487288200711658E+38</v>
      </c>
      <c r="N133" s="872">
        <f t="shared" si="64"/>
        <v>4.0375440202470558E+62</v>
      </c>
      <c r="O133" s="872">
        <f t="shared" si="64"/>
        <v>1.2864804008599413E+101</v>
      </c>
      <c r="P133" s="872">
        <f t="shared" si="64"/>
        <v>4.7563824087794834E+163</v>
      </c>
      <c r="Q133" s="872">
        <f t="shared" si="64"/>
        <v>5.6034726138700443E+264</v>
      </c>
      <c r="R133" s="872" t="e">
        <f t="shared" si="64"/>
        <v>#NUM!</v>
      </c>
      <c r="S133" s="872" t="e">
        <f t="shared" si="64"/>
        <v>#NUM!</v>
      </c>
      <c r="T133" s="872" t="e">
        <f t="shared" si="64"/>
        <v>#NUM!</v>
      </c>
      <c r="U133" s="872"/>
      <c r="V133" s="872">
        <f t="shared" si="64"/>
        <v>300407.02220988198</v>
      </c>
      <c r="W133" s="872">
        <f t="shared" si="64"/>
        <v>1393454.4285642977</v>
      </c>
      <c r="X133" s="720"/>
      <c r="Y133" s="720"/>
      <c r="Z133" s="720"/>
      <c r="AA133" s="720"/>
      <c r="AB133" s="720"/>
    </row>
    <row r="134" spans="1:28" ht="12.75" customHeight="1">
      <c r="A134" s="873"/>
      <c r="B134" s="874"/>
      <c r="C134" s="875"/>
      <c r="D134" s="875"/>
      <c r="E134" s="876"/>
      <c r="F134" s="875"/>
      <c r="G134" s="877"/>
      <c r="H134" s="875"/>
      <c r="I134" s="876"/>
      <c r="J134" s="875"/>
      <c r="K134" s="878"/>
      <c r="L134" s="875"/>
      <c r="M134" s="875"/>
      <c r="N134" s="875"/>
      <c r="O134" s="875"/>
      <c r="P134" s="879"/>
      <c r="Q134" s="875"/>
      <c r="R134" s="875"/>
      <c r="S134" s="875"/>
      <c r="T134" s="875"/>
      <c r="U134" s="875"/>
      <c r="V134" s="720"/>
      <c r="W134" s="720"/>
      <c r="X134" s="720"/>
      <c r="Y134" s="720"/>
      <c r="Z134" s="720"/>
      <c r="AA134" s="720"/>
      <c r="AB134" s="720"/>
    </row>
    <row r="135" spans="1:28" ht="31.5" hidden="1" customHeight="1">
      <c r="A135" s="1006" t="s">
        <v>888</v>
      </c>
      <c r="B135" s="1006"/>
      <c r="C135" s="1006"/>
      <c r="D135" s="1006"/>
      <c r="E135" s="1006"/>
      <c r="F135" s="1006"/>
      <c r="G135" s="1006"/>
      <c r="H135" s="1006"/>
      <c r="I135" s="1006"/>
      <c r="J135" s="875"/>
      <c r="K135" s="878"/>
      <c r="L135" s="875"/>
      <c r="M135" s="875"/>
      <c r="N135" s="875"/>
      <c r="O135" s="875"/>
      <c r="P135" s="875"/>
      <c r="Q135" s="875"/>
      <c r="R135" s="875"/>
      <c r="S135" s="875"/>
      <c r="T135" s="875"/>
      <c r="U135" s="875"/>
      <c r="V135" s="720"/>
      <c r="W135" s="720"/>
      <c r="X135" s="720"/>
      <c r="Y135" s="720"/>
      <c r="Z135" s="720"/>
      <c r="AA135" s="720"/>
      <c r="AB135" s="720"/>
    </row>
    <row r="136" spans="1:28" ht="32.25" hidden="1" customHeight="1">
      <c r="A136" s="999" t="s">
        <v>889</v>
      </c>
      <c r="B136" s="999"/>
      <c r="C136" s="999"/>
      <c r="D136" s="999"/>
      <c r="E136" s="999"/>
      <c r="F136" s="999"/>
      <c r="G136" s="999"/>
      <c r="H136" s="999"/>
      <c r="I136" s="999"/>
      <c r="J136" s="875"/>
      <c r="K136" s="878"/>
      <c r="L136" s="875"/>
      <c r="M136" s="875"/>
      <c r="N136" s="875"/>
      <c r="O136" s="875"/>
      <c r="P136" s="875"/>
      <c r="Q136" s="875"/>
      <c r="R136" s="875"/>
      <c r="S136" s="875"/>
      <c r="T136" s="875"/>
      <c r="U136" s="875"/>
      <c r="V136" s="720"/>
      <c r="W136" s="720"/>
      <c r="X136" s="720"/>
      <c r="Y136" s="720"/>
      <c r="Z136" s="720"/>
      <c r="AA136" s="720"/>
      <c r="AB136" s="720"/>
    </row>
    <row r="137" spans="1:28" ht="32.25" hidden="1" customHeight="1">
      <c r="A137" s="999" t="s">
        <v>890</v>
      </c>
      <c r="B137" s="999"/>
      <c r="C137" s="999"/>
      <c r="D137" s="999"/>
      <c r="E137" s="999"/>
      <c r="F137" s="999"/>
      <c r="G137" s="999"/>
      <c r="H137" s="999"/>
      <c r="I137" s="999"/>
      <c r="J137" s="875"/>
      <c r="K137" s="878"/>
      <c r="L137" s="875"/>
      <c r="M137" s="875"/>
      <c r="N137" s="875"/>
      <c r="O137" s="875"/>
      <c r="P137" s="875"/>
      <c r="Q137" s="875"/>
      <c r="R137" s="875"/>
      <c r="S137" s="875"/>
      <c r="T137" s="875"/>
      <c r="U137" s="875"/>
      <c r="V137" s="720"/>
      <c r="W137" s="720"/>
      <c r="X137" s="720"/>
      <c r="Y137" s="720"/>
      <c r="Z137" s="720"/>
      <c r="AA137" s="720"/>
      <c r="AB137" s="720"/>
    </row>
    <row r="138" spans="1:28" ht="19.5" hidden="1" customHeight="1">
      <c r="A138" s="999" t="s">
        <v>891</v>
      </c>
      <c r="B138" s="999"/>
      <c r="C138" s="999"/>
      <c r="D138" s="999"/>
      <c r="E138" s="999"/>
      <c r="F138" s="999"/>
      <c r="G138" s="999"/>
      <c r="H138" s="999"/>
      <c r="I138" s="999"/>
      <c r="J138" s="875"/>
      <c r="K138" s="878"/>
      <c r="L138" s="875"/>
      <c r="M138" s="875"/>
      <c r="N138" s="875"/>
      <c r="O138" s="875"/>
      <c r="P138" s="875"/>
      <c r="Q138" s="875"/>
      <c r="R138" s="875"/>
      <c r="S138" s="875"/>
      <c r="T138" s="875"/>
      <c r="U138" s="875"/>
      <c r="V138" s="720"/>
      <c r="W138" s="720"/>
      <c r="X138" s="720"/>
      <c r="Y138" s="720"/>
      <c r="Z138" s="720"/>
      <c r="AA138" s="720"/>
      <c r="AB138" s="720"/>
    </row>
    <row r="139" spans="1:28" ht="66.75" hidden="1" customHeight="1">
      <c r="A139" s="999" t="s">
        <v>892</v>
      </c>
      <c r="B139" s="999"/>
      <c r="C139" s="999"/>
      <c r="D139" s="999"/>
      <c r="E139" s="999"/>
      <c r="F139" s="999"/>
      <c r="G139" s="999"/>
      <c r="H139" s="999"/>
      <c r="I139" s="999"/>
      <c r="J139" s="875"/>
      <c r="K139" s="878"/>
      <c r="L139" s="875"/>
      <c r="M139" s="875"/>
      <c r="N139" s="875"/>
      <c r="O139" s="875"/>
      <c r="P139" s="875"/>
      <c r="Q139" s="875"/>
      <c r="R139" s="875"/>
      <c r="S139" s="875"/>
      <c r="T139" s="875"/>
      <c r="U139" s="875"/>
      <c r="V139" s="720"/>
      <c r="W139" s="720"/>
      <c r="X139" s="720"/>
      <c r="Y139" s="720"/>
      <c r="Z139" s="720"/>
      <c r="AA139" s="720"/>
      <c r="AB139" s="720"/>
    </row>
    <row r="140" spans="1:28" ht="32.25" hidden="1" customHeight="1">
      <c r="A140" s="999" t="s">
        <v>893</v>
      </c>
      <c r="B140" s="999"/>
      <c r="C140" s="999"/>
      <c r="D140" s="999"/>
      <c r="E140" s="999"/>
      <c r="F140" s="999"/>
      <c r="G140" s="999"/>
      <c r="H140" s="999"/>
      <c r="I140" s="999"/>
      <c r="J140" s="875"/>
      <c r="K140" s="878"/>
      <c r="L140" s="875"/>
      <c r="M140" s="875"/>
      <c r="N140" s="875"/>
      <c r="O140" s="875"/>
      <c r="P140" s="875"/>
      <c r="Q140" s="875"/>
      <c r="R140" s="875"/>
      <c r="S140" s="875"/>
      <c r="T140" s="875"/>
      <c r="U140" s="875"/>
      <c r="V140" s="720"/>
      <c r="W140" s="720"/>
      <c r="X140" s="720"/>
      <c r="Y140" s="720"/>
      <c r="Z140" s="720"/>
      <c r="AA140" s="720"/>
      <c r="AB140" s="720"/>
    </row>
    <row r="141" spans="1:28" ht="16.5" hidden="1" customHeight="1">
      <c r="A141" s="999" t="s">
        <v>894</v>
      </c>
      <c r="B141" s="999"/>
      <c r="C141" s="999"/>
      <c r="D141" s="999"/>
      <c r="E141" s="999"/>
      <c r="F141" s="999"/>
      <c r="G141" s="999"/>
      <c r="H141" s="999"/>
      <c r="I141" s="999"/>
      <c r="J141" s="875"/>
      <c r="K141" s="878"/>
      <c r="L141" s="875"/>
      <c r="M141" s="875"/>
      <c r="N141" s="875"/>
      <c r="O141" s="875"/>
      <c r="P141" s="875"/>
      <c r="Q141" s="875"/>
      <c r="R141" s="875"/>
      <c r="S141" s="875"/>
      <c r="T141" s="875"/>
      <c r="U141" s="875"/>
      <c r="V141" s="720"/>
      <c r="W141" s="720"/>
      <c r="X141" s="720"/>
      <c r="Y141" s="720"/>
      <c r="Z141" s="720"/>
      <c r="AA141" s="720"/>
      <c r="AB141" s="720"/>
    </row>
    <row r="142" spans="1:28" ht="16.5" hidden="1" customHeight="1">
      <c r="A142" s="999" t="s">
        <v>895</v>
      </c>
      <c r="B142" s="999"/>
      <c r="C142" s="999"/>
      <c r="D142" s="999"/>
      <c r="E142" s="999"/>
      <c r="F142" s="999"/>
      <c r="G142" s="999"/>
      <c r="H142" s="999"/>
      <c r="I142" s="999"/>
      <c r="J142" s="875"/>
      <c r="K142" s="878"/>
      <c r="L142" s="875"/>
      <c r="M142" s="875"/>
      <c r="N142" s="875"/>
      <c r="O142" s="875"/>
      <c r="P142" s="875"/>
      <c r="Q142" s="875"/>
      <c r="R142" s="875"/>
      <c r="S142" s="875"/>
      <c r="T142" s="875"/>
      <c r="U142" s="875"/>
      <c r="V142" s="720"/>
      <c r="W142" s="720"/>
      <c r="X142" s="720"/>
      <c r="Y142" s="720"/>
      <c r="Z142" s="720"/>
      <c r="AA142" s="720"/>
      <c r="AB142" s="720"/>
    </row>
    <row r="143" spans="1:28" ht="16.5" hidden="1" customHeight="1">
      <c r="A143" s="999" t="s">
        <v>896</v>
      </c>
      <c r="B143" s="999"/>
      <c r="C143" s="999"/>
      <c r="D143" s="999"/>
      <c r="E143" s="999"/>
      <c r="F143" s="999"/>
      <c r="G143" s="999"/>
      <c r="H143" s="999"/>
      <c r="I143" s="999"/>
      <c r="J143" s="875"/>
      <c r="K143" s="878"/>
      <c r="L143" s="875"/>
      <c r="M143" s="875"/>
      <c r="N143" s="875"/>
      <c r="O143" s="875"/>
      <c r="P143" s="875"/>
      <c r="Q143" s="875"/>
      <c r="R143" s="875"/>
      <c r="S143" s="875"/>
      <c r="T143" s="875"/>
      <c r="U143" s="875"/>
      <c r="V143" s="720"/>
      <c r="W143" s="720"/>
      <c r="X143" s="720"/>
      <c r="Y143" s="720"/>
      <c r="Z143" s="720"/>
      <c r="AA143" s="720"/>
      <c r="AB143" s="720"/>
    </row>
    <row r="144" spans="1:28" ht="18" hidden="1" customHeight="1">
      <c r="A144" s="999" t="s">
        <v>897</v>
      </c>
      <c r="B144" s="999"/>
      <c r="C144" s="999"/>
      <c r="D144" s="999"/>
      <c r="E144" s="999"/>
      <c r="F144" s="999"/>
      <c r="G144" s="999"/>
      <c r="H144" s="999"/>
      <c r="I144" s="999"/>
      <c r="J144" s="875"/>
      <c r="K144" s="878"/>
      <c r="L144" s="875"/>
      <c r="M144" s="875"/>
      <c r="N144" s="875"/>
      <c r="O144" s="875"/>
      <c r="P144" s="875"/>
      <c r="Q144" s="875"/>
      <c r="R144" s="875"/>
      <c r="S144" s="875"/>
      <c r="T144" s="875"/>
      <c r="U144" s="875"/>
      <c r="V144" s="720"/>
      <c r="W144" s="720"/>
      <c r="X144" s="720"/>
      <c r="Y144" s="720"/>
      <c r="Z144" s="720"/>
      <c r="AA144" s="720"/>
      <c r="AB144" s="720"/>
    </row>
    <row r="145" spans="1:28" ht="53.25" hidden="1" customHeight="1">
      <c r="A145" s="999" t="s">
        <v>898</v>
      </c>
      <c r="B145" s="999"/>
      <c r="C145" s="999"/>
      <c r="D145" s="999"/>
      <c r="E145" s="999"/>
      <c r="F145" s="999"/>
      <c r="G145" s="999"/>
      <c r="H145" s="999"/>
      <c r="I145" s="999"/>
      <c r="J145" s="875"/>
      <c r="K145" s="878"/>
      <c r="L145" s="875"/>
      <c r="M145" s="875"/>
      <c r="N145" s="875"/>
      <c r="O145" s="875"/>
      <c r="P145" s="875"/>
      <c r="Q145" s="875"/>
      <c r="R145" s="875"/>
      <c r="S145" s="875"/>
      <c r="T145" s="875"/>
      <c r="U145" s="875"/>
      <c r="V145" s="720"/>
      <c r="W145" s="720"/>
      <c r="X145" s="720"/>
      <c r="Y145" s="720"/>
      <c r="Z145" s="720"/>
      <c r="AA145" s="720"/>
      <c r="AB145" s="720"/>
    </row>
    <row r="146" spans="1:28" ht="18.75" hidden="1" customHeight="1">
      <c r="A146" s="999" t="s">
        <v>899</v>
      </c>
      <c r="B146" s="999"/>
      <c r="C146" s="999"/>
      <c r="D146" s="999"/>
      <c r="E146" s="999"/>
      <c r="F146" s="999"/>
      <c r="G146" s="999"/>
      <c r="H146" s="999"/>
      <c r="I146" s="999"/>
      <c r="J146" s="875"/>
      <c r="K146" s="878"/>
      <c r="L146" s="875"/>
      <c r="M146" s="875"/>
      <c r="N146" s="875"/>
      <c r="O146" s="875"/>
      <c r="P146" s="875"/>
      <c r="Q146" s="875"/>
      <c r="R146" s="875"/>
      <c r="S146" s="875"/>
      <c r="T146" s="875"/>
      <c r="U146" s="875"/>
      <c r="V146" s="720"/>
      <c r="W146" s="720"/>
      <c r="X146" s="720"/>
      <c r="Y146" s="720"/>
      <c r="Z146" s="720"/>
      <c r="AA146" s="720"/>
      <c r="AB146" s="720"/>
    </row>
    <row r="147" spans="1:28" ht="42.75" hidden="1" customHeight="1">
      <c r="A147" s="999" t="s">
        <v>900</v>
      </c>
      <c r="B147" s="999"/>
      <c r="C147" s="999"/>
      <c r="D147" s="999"/>
      <c r="E147" s="999"/>
      <c r="F147" s="999"/>
      <c r="G147" s="999"/>
      <c r="H147" s="999"/>
      <c r="I147" s="999"/>
      <c r="J147" s="875"/>
      <c r="K147" s="878"/>
      <c r="L147" s="875"/>
      <c r="M147" s="875"/>
      <c r="N147" s="875"/>
      <c r="O147" s="875"/>
      <c r="P147" s="875"/>
      <c r="Q147" s="875"/>
      <c r="R147" s="875"/>
      <c r="S147" s="875"/>
      <c r="T147" s="875"/>
      <c r="U147" s="875"/>
      <c r="V147" s="720"/>
      <c r="W147" s="720"/>
      <c r="X147" s="720"/>
      <c r="Y147" s="720"/>
      <c r="Z147" s="720"/>
      <c r="AA147" s="720"/>
      <c r="AB147" s="720"/>
    </row>
    <row r="148" spans="1:28" ht="15.75" hidden="1" customHeight="1">
      <c r="A148" s="999" t="s">
        <v>901</v>
      </c>
      <c r="B148" s="999"/>
      <c r="C148" s="999"/>
      <c r="D148" s="999"/>
      <c r="E148" s="999"/>
      <c r="F148" s="999"/>
      <c r="G148" s="999"/>
      <c r="H148" s="999"/>
      <c r="I148" s="999"/>
      <c r="J148" s="875"/>
      <c r="K148" s="878"/>
      <c r="L148" s="875"/>
      <c r="M148" s="875"/>
      <c r="N148" s="875"/>
      <c r="O148" s="875"/>
      <c r="P148" s="875"/>
      <c r="Q148" s="875"/>
      <c r="R148" s="875"/>
      <c r="S148" s="875"/>
      <c r="T148" s="875"/>
      <c r="U148" s="875"/>
      <c r="V148" s="720"/>
      <c r="W148" s="720"/>
      <c r="X148" s="720"/>
      <c r="Y148" s="720"/>
      <c r="Z148" s="720"/>
      <c r="AA148" s="720"/>
      <c r="AB148" s="720"/>
    </row>
    <row r="149" spans="1:28" ht="12.75" hidden="1" customHeight="1">
      <c r="A149" s="873"/>
      <c r="B149" s="874"/>
      <c r="C149" s="875"/>
      <c r="D149" s="875"/>
      <c r="E149" s="875"/>
      <c r="F149" s="875"/>
      <c r="G149" s="877"/>
      <c r="H149" s="875"/>
      <c r="I149" s="875"/>
      <c r="J149" s="875"/>
      <c r="K149" s="878"/>
      <c r="L149" s="875"/>
      <c r="M149" s="875"/>
      <c r="N149" s="875"/>
      <c r="O149" s="875"/>
      <c r="P149" s="875"/>
      <c r="Q149" s="875"/>
      <c r="R149" s="875"/>
      <c r="S149" s="875"/>
      <c r="T149" s="875"/>
      <c r="U149" s="875"/>
      <c r="V149" s="720"/>
      <c r="W149" s="720"/>
      <c r="X149" s="720"/>
      <c r="Y149" s="720"/>
      <c r="Z149" s="720"/>
      <c r="AA149" s="720"/>
      <c r="AB149" s="720"/>
    </row>
    <row r="150" spans="1:28" ht="12.75" hidden="1" customHeight="1">
      <c r="A150" s="873"/>
      <c r="B150" s="874"/>
      <c r="C150" s="875"/>
      <c r="D150" s="875"/>
      <c r="E150" s="880"/>
      <c r="F150" s="881"/>
      <c r="G150" s="877"/>
      <c r="H150" s="875"/>
      <c r="I150" s="875"/>
      <c r="J150" s="875"/>
      <c r="K150" s="878"/>
      <c r="L150" s="875"/>
      <c r="M150" s="875"/>
      <c r="N150" s="875"/>
      <c r="O150" s="875"/>
      <c r="P150" s="875"/>
      <c r="Q150" s="875"/>
      <c r="R150" s="875"/>
      <c r="S150" s="875"/>
      <c r="T150" s="875"/>
      <c r="U150" s="875"/>
      <c r="V150" s="720"/>
      <c r="W150" s="720"/>
      <c r="X150" s="720"/>
      <c r="Y150" s="720"/>
      <c r="Z150" s="720"/>
      <c r="AA150" s="720"/>
      <c r="AB150" s="720"/>
    </row>
    <row r="151" spans="1:28" ht="12.75" hidden="1" customHeight="1">
      <c r="A151" s="873"/>
      <c r="B151" s="874"/>
      <c r="C151" s="875"/>
      <c r="D151" s="875"/>
      <c r="E151" s="877"/>
      <c r="F151" s="877"/>
      <c r="G151" s="877"/>
      <c r="H151" s="875"/>
      <c r="I151" s="875"/>
      <c r="J151" s="875"/>
      <c r="K151" s="878"/>
      <c r="L151" s="875"/>
      <c r="M151" s="875"/>
      <c r="N151" s="875"/>
      <c r="O151" s="875"/>
      <c r="P151" s="875"/>
      <c r="Q151" s="875"/>
      <c r="R151" s="875"/>
      <c r="S151" s="875"/>
      <c r="T151" s="875"/>
      <c r="U151" s="875"/>
      <c r="V151" s="720"/>
      <c r="W151" s="720"/>
      <c r="X151" s="720"/>
      <c r="Y151" s="720"/>
      <c r="Z151" s="720"/>
      <c r="AA151" s="720"/>
      <c r="AB151" s="720"/>
    </row>
    <row r="152" spans="1:28" ht="12.75" hidden="1" customHeight="1">
      <c r="A152" s="873"/>
      <c r="B152" s="874"/>
      <c r="C152" s="875"/>
      <c r="D152" s="875"/>
      <c r="E152" s="877"/>
      <c r="F152" s="875"/>
      <c r="G152" s="877"/>
      <c r="H152" s="877"/>
      <c r="I152" s="875"/>
      <c r="J152" s="875"/>
      <c r="K152" s="878"/>
      <c r="L152" s="875"/>
      <c r="M152" s="875"/>
      <c r="N152" s="875"/>
      <c r="O152" s="875"/>
      <c r="P152" s="875"/>
      <c r="Q152" s="875"/>
      <c r="R152" s="875"/>
      <c r="S152" s="875"/>
      <c r="T152" s="875"/>
      <c r="U152" s="875"/>
      <c r="V152" s="720"/>
      <c r="W152" s="720"/>
      <c r="X152" s="720"/>
      <c r="Y152" s="720"/>
      <c r="Z152" s="720"/>
      <c r="AA152" s="720"/>
      <c r="AB152" s="720"/>
    </row>
    <row r="153" spans="1:28" ht="72" hidden="1" customHeight="1">
      <c r="A153" s="882"/>
      <c r="B153" s="883" t="s">
        <v>902</v>
      </c>
      <c r="C153" s="884" t="s">
        <v>903</v>
      </c>
      <c r="D153" s="884" t="s">
        <v>904</v>
      </c>
      <c r="E153" s="885"/>
      <c r="F153" s="886"/>
      <c r="G153" s="887"/>
      <c r="H153" s="886"/>
      <c r="I153" s="886"/>
      <c r="J153" s="886"/>
      <c r="K153" s="888"/>
      <c r="L153" s="886"/>
      <c r="M153" s="886"/>
      <c r="N153" s="886"/>
      <c r="O153" s="886"/>
      <c r="P153" s="886"/>
      <c r="Q153" s="886"/>
      <c r="R153" s="886"/>
      <c r="S153" s="886"/>
      <c r="T153" s="886"/>
      <c r="U153" s="886"/>
      <c r="V153" s="782"/>
      <c r="W153" s="782"/>
      <c r="X153" s="782"/>
      <c r="Y153" s="782"/>
      <c r="Z153" s="782"/>
      <c r="AA153" s="782"/>
      <c r="AB153" s="782"/>
    </row>
    <row r="154" spans="1:28" ht="19.5" hidden="1" customHeight="1">
      <c r="A154" s="884" t="s">
        <v>905</v>
      </c>
      <c r="B154" s="889">
        <f>E5+E13</f>
        <v>2410791.0872425581</v>
      </c>
      <c r="C154" s="890">
        <f>B154/B164</f>
        <v>0.57253047128372092</v>
      </c>
      <c r="D154" s="890">
        <f>B154/B165</f>
        <v>2.6515768862322519E-9</v>
      </c>
      <c r="E154" s="891"/>
      <c r="F154" s="875"/>
      <c r="G154" s="877"/>
      <c r="H154" s="875"/>
      <c r="I154" s="875"/>
      <c r="J154" s="875"/>
      <c r="K154" s="878"/>
      <c r="L154" s="875"/>
      <c r="M154" s="875"/>
      <c r="N154" s="875"/>
      <c r="O154" s="875"/>
      <c r="P154" s="875"/>
      <c r="Q154" s="875"/>
      <c r="R154" s="875"/>
      <c r="S154" s="875"/>
      <c r="T154" s="875"/>
      <c r="U154" s="875"/>
      <c r="V154" s="720"/>
      <c r="W154" s="720"/>
      <c r="X154" s="720"/>
      <c r="Y154" s="720"/>
      <c r="Z154" s="720"/>
      <c r="AA154" s="720"/>
      <c r="AB154" s="720"/>
    </row>
    <row r="155" spans="1:28" ht="19.5" hidden="1" customHeight="1">
      <c r="A155" s="884" t="s">
        <v>906</v>
      </c>
      <c r="B155" s="889">
        <f>E27+E38</f>
        <v>278440</v>
      </c>
      <c r="C155" s="890">
        <f>B155/B164</f>
        <v>6.6125756506996702E-2</v>
      </c>
      <c r="D155" s="890">
        <f>B155/B165</f>
        <v>3.0625012350073647E-10</v>
      </c>
      <c r="E155" s="891"/>
      <c r="F155" s="875"/>
      <c r="G155" s="877"/>
      <c r="H155" s="875"/>
      <c r="I155" s="875"/>
      <c r="J155" s="875"/>
      <c r="K155" s="878"/>
      <c r="L155" s="875"/>
      <c r="M155" s="875"/>
      <c r="N155" s="875"/>
      <c r="O155" s="875"/>
      <c r="P155" s="875"/>
      <c r="Q155" s="875"/>
      <c r="R155" s="875"/>
      <c r="S155" s="875"/>
      <c r="T155" s="875"/>
      <c r="U155" s="875"/>
      <c r="V155" s="720"/>
      <c r="W155" s="720"/>
      <c r="X155" s="720"/>
      <c r="Y155" s="720"/>
      <c r="Z155" s="720"/>
      <c r="AA155" s="720"/>
      <c r="AB155" s="720"/>
    </row>
    <row r="156" spans="1:28" ht="19.5" hidden="1" customHeight="1">
      <c r="A156" s="883" t="s">
        <v>907</v>
      </c>
      <c r="B156" s="882">
        <f>B154+B155</f>
        <v>2689231.0872425581</v>
      </c>
      <c r="C156" s="890">
        <f>B156/B164</f>
        <v>0.63865622779071762</v>
      </c>
      <c r="D156" s="890">
        <f>B156/B165</f>
        <v>2.9578270097329886E-9</v>
      </c>
      <c r="E156" s="891"/>
      <c r="F156" s="877"/>
      <c r="G156" s="877"/>
      <c r="H156" s="875"/>
      <c r="I156" s="875"/>
      <c r="J156" s="875"/>
      <c r="K156" s="878"/>
      <c r="L156" s="875"/>
      <c r="M156" s="875"/>
      <c r="N156" s="875"/>
      <c r="O156" s="875"/>
      <c r="P156" s="875"/>
      <c r="Q156" s="875"/>
      <c r="R156" s="875"/>
      <c r="S156" s="875"/>
      <c r="T156" s="875"/>
      <c r="U156" s="875"/>
      <c r="V156" s="720"/>
      <c r="W156" s="720"/>
      <c r="X156" s="720"/>
      <c r="Y156" s="720"/>
      <c r="Z156" s="720"/>
      <c r="AA156" s="720"/>
      <c r="AB156" s="720"/>
    </row>
    <row r="157" spans="1:28" ht="32.25" hidden="1" customHeight="1">
      <c r="A157" s="884" t="s">
        <v>908</v>
      </c>
      <c r="B157" s="889">
        <f>E57+E45</f>
        <v>345400</v>
      </c>
      <c r="C157" s="890">
        <f>B157/B164</f>
        <v>8.2027856261732021E-2</v>
      </c>
      <c r="D157" s="890">
        <f>B157/B165</f>
        <v>3.7989797678909057E-10</v>
      </c>
      <c r="E157" s="891"/>
      <c r="F157" s="875"/>
      <c r="G157" s="877"/>
      <c r="H157" s="875"/>
      <c r="I157" s="875"/>
      <c r="J157" s="875"/>
      <c r="K157" s="878"/>
      <c r="L157" s="875"/>
      <c r="M157" s="875"/>
      <c r="N157" s="875"/>
      <c r="O157" s="875"/>
      <c r="P157" s="875"/>
      <c r="Q157" s="875"/>
      <c r="R157" s="875"/>
      <c r="S157" s="875"/>
      <c r="T157" s="875"/>
      <c r="U157" s="875"/>
      <c r="V157" s="720"/>
      <c r="W157" s="720"/>
      <c r="X157" s="720"/>
      <c r="Y157" s="720"/>
      <c r="Z157" s="720"/>
      <c r="AA157" s="720"/>
      <c r="AB157" s="720"/>
    </row>
    <row r="158" spans="1:28" ht="19.5" hidden="1" customHeight="1">
      <c r="A158" s="884" t="s">
        <v>909</v>
      </c>
      <c r="B158" s="889">
        <f>E67</f>
        <v>20000</v>
      </c>
      <c r="C158" s="892">
        <f>B158/B164</f>
        <v>4.7497311095386231E-3</v>
      </c>
      <c r="D158" s="892">
        <f>B158/B165</f>
        <v>2.1997566693056781E-11</v>
      </c>
      <c r="E158" s="873"/>
      <c r="F158" s="874"/>
      <c r="G158" s="893"/>
      <c r="H158" s="874"/>
      <c r="I158" s="874"/>
      <c r="J158" s="874"/>
      <c r="K158" s="894"/>
      <c r="L158" s="874"/>
      <c r="M158" s="874"/>
      <c r="N158" s="874"/>
      <c r="O158" s="874"/>
      <c r="P158" s="874"/>
      <c r="Q158" s="875"/>
      <c r="R158" s="875"/>
      <c r="S158" s="875"/>
      <c r="T158" s="875"/>
      <c r="U158" s="875"/>
      <c r="V158" s="720"/>
      <c r="W158" s="720"/>
      <c r="X158" s="720"/>
      <c r="Y158" s="720"/>
      <c r="Z158" s="720"/>
      <c r="AA158" s="720"/>
      <c r="AB158" s="720"/>
    </row>
    <row r="159" spans="1:28" ht="19.5" hidden="1" customHeight="1">
      <c r="A159" s="883" t="s">
        <v>816</v>
      </c>
      <c r="B159" s="882">
        <f>E70</f>
        <v>365400</v>
      </c>
      <c r="C159" s="895">
        <f>B159/B164</f>
        <v>8.6777587371270642E-2</v>
      </c>
      <c r="D159" s="895">
        <f>B159/B165</f>
        <v>4.0189554348214739E-10</v>
      </c>
      <c r="E159" s="896"/>
      <c r="F159" s="897"/>
      <c r="G159" s="898"/>
      <c r="H159" s="897"/>
      <c r="I159" s="897"/>
      <c r="J159" s="897"/>
      <c r="K159" s="899"/>
      <c r="L159" s="897"/>
      <c r="M159" s="897"/>
      <c r="N159" s="897"/>
      <c r="O159" s="897"/>
      <c r="P159" s="897"/>
      <c r="Q159" s="886"/>
      <c r="R159" s="886"/>
      <c r="S159" s="886"/>
      <c r="T159" s="886"/>
      <c r="U159" s="886"/>
      <c r="V159" s="782"/>
      <c r="W159" s="782"/>
      <c r="X159" s="782"/>
      <c r="Y159" s="782"/>
      <c r="Z159" s="782"/>
      <c r="AA159" s="782"/>
      <c r="AB159" s="782"/>
    </row>
    <row r="160" spans="1:28" ht="19.5" hidden="1" customHeight="1">
      <c r="A160" s="883" t="s">
        <v>844</v>
      </c>
      <c r="B160" s="882">
        <f>E86</f>
        <v>182596.02611146765</v>
      </c>
      <c r="C160" s="895">
        <f>B160/B164</f>
        <v>4.336410128498823E-2</v>
      </c>
      <c r="D160" s="892">
        <f>B160/B165</f>
        <v>2.0083341311370734E-10</v>
      </c>
      <c r="E160" s="873"/>
      <c r="F160" s="874"/>
      <c r="G160" s="893"/>
      <c r="H160" s="874"/>
      <c r="I160" s="874"/>
      <c r="J160" s="874"/>
      <c r="K160" s="894"/>
      <c r="L160" s="874"/>
      <c r="M160" s="874"/>
      <c r="N160" s="874"/>
      <c r="O160" s="874"/>
      <c r="P160" s="874"/>
      <c r="Q160" s="875"/>
      <c r="R160" s="875"/>
      <c r="S160" s="875"/>
      <c r="T160" s="875"/>
      <c r="U160" s="875"/>
      <c r="V160" s="720"/>
      <c r="W160" s="720"/>
      <c r="X160" s="720"/>
      <c r="Y160" s="720"/>
      <c r="Z160" s="720"/>
      <c r="AA160" s="720"/>
      <c r="AB160" s="720"/>
    </row>
    <row r="161" spans="1:28" ht="19.5" hidden="1" customHeight="1">
      <c r="A161" s="883" t="s">
        <v>852</v>
      </c>
      <c r="B161" s="882">
        <f>E97</f>
        <v>349060</v>
      </c>
      <c r="C161" s="895">
        <f>B161/B164</f>
        <v>8.2897057054777581E-2</v>
      </c>
      <c r="D161" s="892">
        <f>B161/B165</f>
        <v>3.8392353149391999E-10</v>
      </c>
      <c r="E161" s="873"/>
      <c r="F161" s="874"/>
      <c r="G161" s="893"/>
      <c r="H161" s="874"/>
      <c r="I161" s="874"/>
      <c r="J161" s="874"/>
      <c r="K161" s="894"/>
      <c r="L161" s="874"/>
      <c r="M161" s="874"/>
      <c r="N161" s="874"/>
      <c r="O161" s="874"/>
      <c r="P161" s="874"/>
      <c r="Q161" s="875"/>
      <c r="R161" s="875"/>
      <c r="S161" s="875"/>
      <c r="T161" s="875"/>
      <c r="U161" s="875"/>
      <c r="V161" s="720"/>
      <c r="W161" s="720"/>
      <c r="X161" s="720"/>
      <c r="Y161" s="720"/>
      <c r="Z161" s="720"/>
      <c r="AA161" s="720"/>
      <c r="AB161" s="720"/>
    </row>
    <row r="162" spans="1:28" ht="19.5" hidden="1" customHeight="1">
      <c r="A162" s="883" t="s">
        <v>910</v>
      </c>
      <c r="B162" s="882">
        <f>E121</f>
        <v>609477.5675844606</v>
      </c>
      <c r="C162" s="895">
        <f>B162/B164</f>
        <v>0.14474272816609204</v>
      </c>
      <c r="D162" s="892">
        <f>B162/B165</f>
        <v>6.7035117204305971E-10</v>
      </c>
      <c r="E162" s="873"/>
      <c r="F162" s="874"/>
      <c r="G162" s="893"/>
      <c r="H162" s="874"/>
      <c r="I162" s="874"/>
      <c r="J162" s="874"/>
      <c r="K162" s="894"/>
      <c r="L162" s="874"/>
      <c r="M162" s="874"/>
      <c r="N162" s="874"/>
      <c r="O162" s="874"/>
      <c r="P162" s="874"/>
      <c r="Q162" s="875"/>
      <c r="R162" s="875"/>
      <c r="S162" s="875"/>
      <c r="T162" s="875"/>
      <c r="U162" s="875"/>
      <c r="V162" s="720"/>
      <c r="W162" s="720"/>
      <c r="X162" s="720"/>
      <c r="Y162" s="720"/>
      <c r="Z162" s="720"/>
      <c r="AA162" s="720"/>
      <c r="AB162" s="720"/>
    </row>
    <row r="163" spans="1:28" ht="19.5" hidden="1" customHeight="1">
      <c r="A163" s="883" t="s">
        <v>911</v>
      </c>
      <c r="B163" s="882">
        <f>E126</f>
        <v>15000</v>
      </c>
      <c r="C163" s="900">
        <f>B163/B164</f>
        <v>3.5622983321539669E-3</v>
      </c>
      <c r="D163" s="901">
        <f>B163/B165</f>
        <v>1.6498175019792585E-11</v>
      </c>
      <c r="E163" s="873"/>
      <c r="F163" s="874"/>
      <c r="G163" s="893"/>
      <c r="H163" s="874"/>
      <c r="I163" s="874"/>
      <c r="J163" s="874"/>
      <c r="K163" s="894"/>
      <c r="L163" s="874"/>
      <c r="M163" s="874"/>
      <c r="N163" s="874"/>
      <c r="O163" s="874"/>
      <c r="P163" s="874"/>
      <c r="Q163" s="875"/>
      <c r="R163" s="875"/>
      <c r="S163" s="875"/>
      <c r="T163" s="875"/>
      <c r="U163" s="875"/>
      <c r="V163" s="720"/>
      <c r="W163" s="720"/>
      <c r="X163" s="720"/>
      <c r="Y163" s="720"/>
      <c r="Z163" s="720"/>
      <c r="AA163" s="720"/>
      <c r="AB163" s="720"/>
    </row>
    <row r="164" spans="1:28" ht="19.5" hidden="1" customHeight="1">
      <c r="A164" s="883" t="s">
        <v>912</v>
      </c>
      <c r="B164" s="882">
        <f>E127</f>
        <v>4210764.680938486</v>
      </c>
      <c r="C164" s="895"/>
      <c r="D164" s="892">
        <f>B164/B165</f>
        <v>4.6313288448856151E-9</v>
      </c>
      <c r="E164" s="873"/>
      <c r="F164" s="874"/>
      <c r="G164" s="893"/>
      <c r="H164" s="874"/>
      <c r="I164" s="874"/>
      <c r="J164" s="874"/>
      <c r="K164" s="894"/>
      <c r="L164" s="874"/>
      <c r="M164" s="874"/>
      <c r="N164" s="874"/>
      <c r="O164" s="874"/>
      <c r="P164" s="874"/>
      <c r="Q164" s="875"/>
      <c r="R164" s="875"/>
      <c r="S164" s="875"/>
      <c r="T164" s="875"/>
      <c r="U164" s="875"/>
      <c r="V164" s="720"/>
      <c r="W164" s="720"/>
      <c r="X164" s="720"/>
      <c r="Y164" s="720"/>
      <c r="Z164" s="720"/>
      <c r="AA164" s="720"/>
      <c r="AB164" s="720"/>
    </row>
    <row r="165" spans="1:28" ht="19.5" hidden="1" customHeight="1">
      <c r="A165" s="883" t="s">
        <v>913</v>
      </c>
      <c r="B165" s="882">
        <f>E131</f>
        <v>909191470087130.88</v>
      </c>
      <c r="C165" s="895"/>
      <c r="D165" s="895"/>
      <c r="E165" s="896"/>
      <c r="F165" s="897"/>
      <c r="G165" s="898"/>
      <c r="H165" s="897"/>
      <c r="I165" s="897"/>
      <c r="J165" s="897"/>
      <c r="K165" s="899"/>
      <c r="L165" s="897"/>
      <c r="M165" s="897"/>
      <c r="N165" s="897"/>
      <c r="O165" s="897"/>
      <c r="P165" s="897"/>
      <c r="Q165" s="886"/>
      <c r="R165" s="886"/>
      <c r="S165" s="886"/>
      <c r="T165" s="886"/>
      <c r="U165" s="886"/>
      <c r="V165" s="782"/>
      <c r="W165" s="782"/>
      <c r="X165" s="782"/>
      <c r="Y165" s="782"/>
      <c r="Z165" s="782"/>
      <c r="AA165" s="782"/>
      <c r="AB165" s="782"/>
    </row>
    <row r="166" spans="1:28" ht="12.75" hidden="1" customHeight="1">
      <c r="A166" s="873"/>
      <c r="B166" s="873"/>
      <c r="C166" s="873"/>
      <c r="D166" s="873"/>
      <c r="E166" s="873"/>
      <c r="F166" s="874"/>
      <c r="G166" s="893"/>
      <c r="H166" s="874"/>
      <c r="I166" s="874"/>
      <c r="J166" s="874"/>
      <c r="K166" s="894"/>
      <c r="L166" s="874"/>
      <c r="M166" s="874"/>
      <c r="N166" s="874"/>
      <c r="O166" s="874"/>
      <c r="P166" s="874"/>
      <c r="Q166" s="875"/>
      <c r="R166" s="875"/>
      <c r="S166" s="875"/>
      <c r="T166" s="875"/>
      <c r="U166" s="875"/>
      <c r="V166" s="720"/>
      <c r="W166" s="720"/>
      <c r="X166" s="720"/>
      <c r="Y166" s="720"/>
      <c r="Z166" s="720"/>
      <c r="AA166" s="720"/>
      <c r="AB166" s="720"/>
    </row>
    <row r="167" spans="1:28" ht="12.75" hidden="1" customHeight="1">
      <c r="A167" s="873"/>
      <c r="B167" s="874"/>
      <c r="C167" s="874"/>
      <c r="D167" s="874"/>
      <c r="E167" s="874"/>
      <c r="F167" s="874"/>
      <c r="G167" s="893"/>
      <c r="H167" s="874"/>
      <c r="I167" s="874"/>
      <c r="J167" s="874"/>
      <c r="K167" s="894"/>
      <c r="L167" s="874"/>
      <c r="M167" s="874"/>
      <c r="N167" s="874"/>
      <c r="O167" s="874"/>
      <c r="P167" s="874"/>
      <c r="Q167" s="875"/>
      <c r="R167" s="875"/>
      <c r="S167" s="875"/>
      <c r="T167" s="875"/>
      <c r="U167" s="875"/>
      <c r="V167" s="720"/>
      <c r="W167" s="720"/>
      <c r="X167" s="720"/>
      <c r="Y167" s="720"/>
      <c r="Z167" s="720"/>
      <c r="AA167" s="720"/>
      <c r="AB167" s="720"/>
    </row>
    <row r="168" spans="1:28" ht="12.75" hidden="1" customHeight="1">
      <c r="A168" s="873"/>
      <c r="B168" s="874"/>
      <c r="C168" s="874"/>
      <c r="D168" s="874"/>
      <c r="E168" s="874"/>
      <c r="F168" s="874"/>
      <c r="G168" s="893"/>
      <c r="H168" s="874"/>
      <c r="I168" s="874"/>
      <c r="J168" s="874"/>
      <c r="K168" s="894"/>
      <c r="L168" s="874"/>
      <c r="M168" s="874"/>
      <c r="N168" s="874"/>
      <c r="O168" s="874"/>
      <c r="P168" s="874"/>
      <c r="Q168" s="875"/>
      <c r="R168" s="875"/>
      <c r="S168" s="875"/>
      <c r="T168" s="875"/>
      <c r="U168" s="875"/>
      <c r="V168" s="720"/>
      <c r="W168" s="720"/>
      <c r="X168" s="720"/>
      <c r="Y168" s="720"/>
      <c r="Z168" s="720"/>
      <c r="AA168" s="720"/>
      <c r="AB168" s="720"/>
    </row>
    <row r="169" spans="1:28" ht="12.75" hidden="1" customHeight="1">
      <c r="A169" s="873"/>
      <c r="B169" s="874"/>
      <c r="C169" s="874"/>
      <c r="D169" s="874"/>
      <c r="E169" s="874"/>
      <c r="F169" s="874"/>
      <c r="G169" s="893"/>
      <c r="H169" s="874"/>
      <c r="I169" s="874"/>
      <c r="J169" s="874"/>
      <c r="K169" s="894"/>
      <c r="L169" s="874"/>
      <c r="M169" s="874"/>
      <c r="N169" s="874"/>
      <c r="O169" s="874"/>
      <c r="P169" s="874"/>
      <c r="Q169" s="875"/>
      <c r="R169" s="875"/>
      <c r="S169" s="875"/>
      <c r="T169" s="875"/>
      <c r="U169" s="875"/>
      <c r="V169" s="720"/>
      <c r="W169" s="720"/>
      <c r="X169" s="720"/>
      <c r="Y169" s="720"/>
      <c r="Z169" s="720"/>
      <c r="AA169" s="720"/>
      <c r="AB169" s="720"/>
    </row>
    <row r="170" spans="1:28" ht="12.75" hidden="1" customHeight="1">
      <c r="A170" s="873"/>
      <c r="B170" s="874"/>
      <c r="C170" s="874"/>
      <c r="D170" s="875"/>
      <c r="E170" s="874"/>
      <c r="F170" s="874"/>
      <c r="G170" s="893"/>
      <c r="H170" s="874"/>
      <c r="I170" s="874"/>
      <c r="J170" s="874"/>
      <c r="K170" s="894"/>
      <c r="L170" s="874"/>
      <c r="M170" s="874"/>
      <c r="N170" s="874"/>
      <c r="O170" s="874"/>
      <c r="P170" s="874"/>
      <c r="Q170" s="875"/>
      <c r="R170" s="875"/>
      <c r="S170" s="875"/>
      <c r="T170" s="875"/>
      <c r="U170" s="875"/>
      <c r="V170" s="720"/>
      <c r="W170" s="720"/>
      <c r="X170" s="720"/>
      <c r="Y170" s="720"/>
      <c r="Z170" s="720"/>
      <c r="AA170" s="720"/>
      <c r="AB170" s="720"/>
    </row>
    <row r="171" spans="1:28" ht="12.75" hidden="1" customHeight="1">
      <c r="A171" s="873"/>
      <c r="B171" s="874"/>
      <c r="C171" s="874"/>
      <c r="D171" s="875"/>
      <c r="E171" s="874"/>
      <c r="F171" s="874"/>
      <c r="G171" s="893"/>
      <c r="H171" s="874"/>
      <c r="I171" s="874"/>
      <c r="J171" s="874"/>
      <c r="K171" s="894"/>
      <c r="L171" s="874"/>
      <c r="M171" s="874"/>
      <c r="N171" s="874"/>
      <c r="O171" s="874"/>
      <c r="P171" s="874"/>
      <c r="Q171" s="875"/>
      <c r="R171" s="875"/>
      <c r="S171" s="875"/>
      <c r="T171" s="875"/>
      <c r="U171" s="875"/>
      <c r="V171" s="720"/>
      <c r="W171" s="720"/>
      <c r="X171" s="720"/>
      <c r="Y171" s="720"/>
      <c r="Z171" s="720"/>
      <c r="AA171" s="720"/>
      <c r="AB171" s="720"/>
    </row>
    <row r="172" spans="1:28" ht="12.75" hidden="1" customHeight="1">
      <c r="A172" s="873"/>
      <c r="B172" s="874"/>
      <c r="C172" s="874"/>
      <c r="D172" s="875"/>
      <c r="E172" s="874"/>
      <c r="F172" s="874"/>
      <c r="G172" s="893"/>
      <c r="H172" s="874"/>
      <c r="I172" s="874"/>
      <c r="J172" s="874"/>
      <c r="K172" s="894"/>
      <c r="L172" s="874"/>
      <c r="M172" s="874"/>
      <c r="N172" s="874"/>
      <c r="O172" s="874"/>
      <c r="P172" s="874"/>
      <c r="Q172" s="875"/>
      <c r="R172" s="875"/>
      <c r="S172" s="875"/>
      <c r="T172" s="875"/>
      <c r="U172" s="875"/>
      <c r="V172" s="720"/>
      <c r="W172" s="720"/>
      <c r="X172" s="720"/>
      <c r="Y172" s="720"/>
      <c r="Z172" s="720"/>
      <c r="AA172" s="720"/>
      <c r="AB172" s="720"/>
    </row>
    <row r="173" spans="1:28" ht="12.75" hidden="1" customHeight="1">
      <c r="A173" s="873"/>
      <c r="B173" s="874"/>
      <c r="C173" s="874"/>
      <c r="D173" s="874"/>
      <c r="E173" s="874"/>
      <c r="F173" s="874"/>
      <c r="G173" s="893"/>
      <c r="H173" s="874"/>
      <c r="I173" s="874"/>
      <c r="J173" s="874"/>
      <c r="K173" s="894"/>
      <c r="L173" s="874"/>
      <c r="M173" s="874"/>
      <c r="N173" s="874"/>
      <c r="O173" s="874"/>
      <c r="P173" s="874"/>
      <c r="Q173" s="875"/>
      <c r="R173" s="875"/>
      <c r="S173" s="875"/>
      <c r="T173" s="875"/>
      <c r="U173" s="875"/>
      <c r="V173" s="720"/>
      <c r="W173" s="720"/>
      <c r="X173" s="720"/>
      <c r="Y173" s="720"/>
      <c r="Z173" s="720"/>
      <c r="AA173" s="720"/>
      <c r="AB173" s="720"/>
    </row>
    <row r="174" spans="1:28" ht="12.75" hidden="1" customHeight="1">
      <c r="A174" s="873"/>
      <c r="B174" s="874"/>
      <c r="C174" s="874"/>
      <c r="D174" s="874"/>
      <c r="E174" s="874"/>
      <c r="F174" s="874"/>
      <c r="G174" s="893"/>
      <c r="H174" s="874"/>
      <c r="I174" s="874"/>
      <c r="J174" s="874"/>
      <c r="K174" s="894"/>
      <c r="L174" s="874"/>
      <c r="M174" s="874"/>
      <c r="N174" s="874"/>
      <c r="O174" s="874"/>
      <c r="P174" s="874"/>
      <c r="Q174" s="875"/>
      <c r="R174" s="875"/>
      <c r="S174" s="875"/>
      <c r="T174" s="875"/>
      <c r="U174" s="875"/>
      <c r="V174" s="720"/>
      <c r="W174" s="720"/>
      <c r="X174" s="720"/>
      <c r="Y174" s="720"/>
      <c r="Z174" s="720"/>
      <c r="AA174" s="720"/>
      <c r="AB174" s="720"/>
    </row>
    <row r="175" spans="1:28" ht="12.75" hidden="1" customHeight="1">
      <c r="A175" s="873"/>
      <c r="B175" s="874"/>
      <c r="C175" s="874"/>
      <c r="D175" s="874"/>
      <c r="E175" s="874"/>
      <c r="F175" s="874"/>
      <c r="G175" s="893"/>
      <c r="H175" s="874"/>
      <c r="I175" s="874"/>
      <c r="J175" s="874"/>
      <c r="K175" s="894"/>
      <c r="L175" s="874"/>
      <c r="M175" s="874"/>
      <c r="N175" s="874"/>
      <c r="O175" s="874"/>
      <c r="P175" s="874"/>
      <c r="Q175" s="875"/>
      <c r="R175" s="875"/>
      <c r="S175" s="875"/>
      <c r="T175" s="875"/>
      <c r="U175" s="875"/>
      <c r="V175" s="720"/>
      <c r="W175" s="720"/>
      <c r="X175" s="720"/>
      <c r="Y175" s="720"/>
      <c r="Z175" s="720"/>
      <c r="AA175" s="720"/>
      <c r="AB175" s="720"/>
    </row>
    <row r="176" spans="1:28" ht="12.75" hidden="1" customHeight="1">
      <c r="A176" s="873"/>
      <c r="B176" s="874"/>
      <c r="C176" s="874"/>
      <c r="D176" s="874"/>
      <c r="E176" s="874"/>
      <c r="F176" s="874"/>
      <c r="G176" s="893"/>
      <c r="H176" s="874"/>
      <c r="I176" s="874"/>
      <c r="J176" s="874"/>
      <c r="K176" s="894"/>
      <c r="L176" s="874"/>
      <c r="M176" s="874"/>
      <c r="N176" s="874"/>
      <c r="O176" s="874"/>
      <c r="P176" s="874"/>
      <c r="Q176" s="875"/>
      <c r="R176" s="875"/>
      <c r="S176" s="875"/>
      <c r="T176" s="875"/>
      <c r="U176" s="875"/>
      <c r="V176" s="720"/>
      <c r="W176" s="720"/>
      <c r="X176" s="720"/>
      <c r="Y176" s="720"/>
      <c r="Z176" s="720"/>
      <c r="AA176" s="720"/>
      <c r="AB176" s="720"/>
    </row>
    <row r="177" spans="1:28" ht="12.75" hidden="1" customHeight="1">
      <c r="A177" s="873"/>
      <c r="B177" s="874"/>
      <c r="C177" s="874"/>
      <c r="D177" s="874"/>
      <c r="E177" s="874"/>
      <c r="F177" s="874"/>
      <c r="G177" s="893"/>
      <c r="H177" s="874"/>
      <c r="I177" s="874"/>
      <c r="J177" s="874"/>
      <c r="K177" s="894"/>
      <c r="L177" s="874"/>
      <c r="M177" s="874"/>
      <c r="N177" s="874"/>
      <c r="O177" s="874"/>
      <c r="P177" s="874"/>
      <c r="Q177" s="875"/>
      <c r="R177" s="875"/>
      <c r="S177" s="875"/>
      <c r="T177" s="875"/>
      <c r="U177" s="875"/>
      <c r="V177" s="720"/>
      <c r="W177" s="720"/>
      <c r="X177" s="720"/>
      <c r="Y177" s="720"/>
      <c r="Z177" s="720"/>
      <c r="AA177" s="720"/>
      <c r="AB177" s="720"/>
    </row>
    <row r="178" spans="1:28" ht="12.75" hidden="1" customHeight="1">
      <c r="A178" s="873"/>
      <c r="B178" s="874"/>
      <c r="C178" s="874"/>
      <c r="D178" s="874"/>
      <c r="E178" s="874"/>
      <c r="F178" s="874"/>
      <c r="G178" s="893"/>
      <c r="H178" s="874"/>
      <c r="I178" s="874"/>
      <c r="J178" s="874"/>
      <c r="K178" s="894"/>
      <c r="L178" s="874"/>
      <c r="M178" s="874"/>
      <c r="N178" s="874"/>
      <c r="O178" s="874"/>
      <c r="P178" s="874"/>
      <c r="Q178" s="875"/>
      <c r="R178" s="875"/>
      <c r="S178" s="875"/>
      <c r="T178" s="875"/>
      <c r="U178" s="875"/>
      <c r="V178" s="720"/>
      <c r="W178" s="720"/>
      <c r="X178" s="720"/>
      <c r="Y178" s="720"/>
      <c r="Z178" s="720"/>
      <c r="AA178" s="720"/>
      <c r="AB178" s="720"/>
    </row>
    <row r="179" spans="1:28" ht="12.75" hidden="1" customHeight="1">
      <c r="A179" s="873"/>
      <c r="B179" s="874"/>
      <c r="C179" s="874"/>
      <c r="D179" s="874"/>
      <c r="E179" s="874"/>
      <c r="F179" s="874"/>
      <c r="G179" s="893"/>
      <c r="H179" s="874"/>
      <c r="I179" s="874"/>
      <c r="J179" s="874"/>
      <c r="K179" s="894"/>
      <c r="L179" s="874"/>
      <c r="M179" s="874"/>
      <c r="N179" s="874"/>
      <c r="O179" s="874"/>
      <c r="P179" s="874"/>
      <c r="Q179" s="875"/>
      <c r="R179" s="875"/>
      <c r="S179" s="875"/>
      <c r="T179" s="875"/>
      <c r="U179" s="875"/>
      <c r="V179" s="720"/>
      <c r="W179" s="720"/>
      <c r="X179" s="720"/>
      <c r="Y179" s="720"/>
      <c r="Z179" s="720"/>
      <c r="AA179" s="720"/>
      <c r="AB179" s="720"/>
    </row>
    <row r="180" spans="1:28" ht="12.75" hidden="1" customHeight="1">
      <c r="A180" s="873"/>
      <c r="B180" s="874"/>
      <c r="C180" s="874"/>
      <c r="D180" s="874"/>
      <c r="E180" s="874"/>
      <c r="F180" s="874"/>
      <c r="G180" s="893"/>
      <c r="H180" s="874"/>
      <c r="I180" s="874"/>
      <c r="J180" s="874"/>
      <c r="K180" s="894"/>
      <c r="L180" s="874"/>
      <c r="M180" s="874"/>
      <c r="N180" s="874"/>
      <c r="O180" s="874"/>
      <c r="P180" s="874"/>
      <c r="Q180" s="875"/>
      <c r="R180" s="875"/>
      <c r="S180" s="875"/>
      <c r="T180" s="875"/>
      <c r="U180" s="875"/>
      <c r="V180" s="720"/>
      <c r="W180" s="720"/>
      <c r="X180" s="720"/>
      <c r="Y180" s="720"/>
      <c r="Z180" s="720"/>
      <c r="AA180" s="720"/>
      <c r="AB180" s="720"/>
    </row>
    <row r="181" spans="1:28" ht="12.75" hidden="1" customHeight="1">
      <c r="A181" s="873"/>
      <c r="B181" s="874"/>
      <c r="C181" s="874"/>
      <c r="D181" s="874"/>
      <c r="E181" s="874"/>
      <c r="F181" s="874"/>
      <c r="G181" s="893"/>
      <c r="H181" s="874"/>
      <c r="I181" s="874"/>
      <c r="J181" s="874"/>
      <c r="K181" s="894"/>
      <c r="L181" s="874"/>
      <c r="M181" s="874"/>
      <c r="N181" s="874"/>
      <c r="O181" s="874"/>
      <c r="P181" s="874"/>
      <c r="Q181" s="875"/>
      <c r="R181" s="875"/>
      <c r="S181" s="875"/>
      <c r="T181" s="875"/>
      <c r="U181" s="875"/>
      <c r="V181" s="720"/>
      <c r="W181" s="720"/>
      <c r="X181" s="720"/>
      <c r="Y181" s="720"/>
      <c r="Z181" s="720"/>
      <c r="AA181" s="720"/>
      <c r="AB181" s="720"/>
    </row>
    <row r="182" spans="1:28" ht="12.75" hidden="1" customHeight="1">
      <c r="A182" s="873"/>
      <c r="B182" s="874"/>
      <c r="C182" s="874"/>
      <c r="D182" s="874"/>
      <c r="E182" s="874"/>
      <c r="F182" s="874"/>
      <c r="G182" s="893"/>
      <c r="H182" s="874"/>
      <c r="I182" s="874"/>
      <c r="J182" s="874"/>
      <c r="K182" s="894"/>
      <c r="L182" s="874"/>
      <c r="M182" s="874"/>
      <c r="N182" s="874"/>
      <c r="O182" s="874"/>
      <c r="P182" s="874"/>
      <c r="Q182" s="875"/>
      <c r="R182" s="875"/>
      <c r="S182" s="875"/>
      <c r="T182" s="875"/>
      <c r="U182" s="875"/>
      <c r="V182" s="720"/>
      <c r="W182" s="720"/>
      <c r="X182" s="720"/>
      <c r="Y182" s="720"/>
      <c r="Z182" s="720"/>
      <c r="AA182" s="720"/>
      <c r="AB182" s="720"/>
    </row>
    <row r="183" spans="1:28" ht="12.75" hidden="1" customHeight="1">
      <c r="A183" s="873"/>
      <c r="B183" s="874"/>
      <c r="C183" s="874"/>
      <c r="D183" s="874"/>
      <c r="E183" s="874"/>
      <c r="F183" s="874"/>
      <c r="G183" s="893"/>
      <c r="H183" s="874"/>
      <c r="I183" s="874"/>
      <c r="J183" s="874"/>
      <c r="K183" s="894"/>
      <c r="L183" s="874"/>
      <c r="M183" s="874"/>
      <c r="N183" s="874"/>
      <c r="O183" s="874"/>
      <c r="P183" s="874"/>
      <c r="Q183" s="875"/>
      <c r="R183" s="875"/>
      <c r="S183" s="875"/>
      <c r="T183" s="875"/>
      <c r="U183" s="875"/>
      <c r="V183" s="720"/>
      <c r="W183" s="720"/>
      <c r="X183" s="720"/>
      <c r="Y183" s="720"/>
      <c r="Z183" s="720"/>
      <c r="AA183" s="720"/>
      <c r="AB183" s="720"/>
    </row>
    <row r="184" spans="1:28" ht="12.75" hidden="1" customHeight="1">
      <c r="A184" s="873"/>
      <c r="B184" s="874"/>
      <c r="C184" s="874"/>
      <c r="D184" s="874"/>
      <c r="E184" s="874"/>
      <c r="F184" s="874"/>
      <c r="G184" s="893"/>
      <c r="H184" s="874"/>
      <c r="I184" s="874"/>
      <c r="J184" s="874"/>
      <c r="K184" s="894"/>
      <c r="L184" s="874"/>
      <c r="M184" s="874"/>
      <c r="N184" s="874"/>
      <c r="O184" s="874"/>
      <c r="P184" s="874"/>
      <c r="Q184" s="875"/>
      <c r="R184" s="875"/>
      <c r="S184" s="875"/>
      <c r="T184" s="875"/>
      <c r="U184" s="875"/>
      <c r="V184" s="720"/>
      <c r="W184" s="720"/>
      <c r="X184" s="720"/>
      <c r="Y184" s="720"/>
      <c r="Z184" s="720"/>
      <c r="AA184" s="720"/>
      <c r="AB184" s="720"/>
    </row>
    <row r="185" spans="1:28" ht="12.75" hidden="1" customHeight="1">
      <c r="A185" s="873"/>
      <c r="B185" s="874"/>
      <c r="C185" s="874"/>
      <c r="D185" s="874"/>
      <c r="E185" s="874"/>
      <c r="F185" s="874"/>
      <c r="G185" s="893"/>
      <c r="H185" s="874"/>
      <c r="I185" s="874"/>
      <c r="J185" s="874"/>
      <c r="K185" s="894"/>
      <c r="L185" s="874"/>
      <c r="M185" s="874"/>
      <c r="N185" s="874"/>
      <c r="O185" s="874"/>
      <c r="P185" s="874"/>
      <c r="Q185" s="875"/>
      <c r="R185" s="875"/>
      <c r="S185" s="875"/>
      <c r="T185" s="875"/>
      <c r="U185" s="875"/>
      <c r="V185" s="720"/>
      <c r="W185" s="720"/>
      <c r="X185" s="720"/>
      <c r="Y185" s="720"/>
      <c r="Z185" s="720"/>
      <c r="AA185" s="720"/>
      <c r="AB185" s="720"/>
    </row>
    <row r="186" spans="1:28" ht="12.75" hidden="1" customHeight="1">
      <c r="A186" s="873"/>
      <c r="B186" s="874"/>
      <c r="C186" s="874"/>
      <c r="D186" s="874"/>
      <c r="E186" s="874"/>
      <c r="F186" s="874"/>
      <c r="G186" s="893"/>
      <c r="H186" s="874"/>
      <c r="I186" s="874"/>
      <c r="J186" s="874"/>
      <c r="K186" s="894"/>
      <c r="L186" s="874"/>
      <c r="M186" s="874"/>
      <c r="N186" s="874"/>
      <c r="O186" s="874"/>
      <c r="P186" s="874"/>
      <c r="Q186" s="875"/>
      <c r="R186" s="875"/>
      <c r="S186" s="875"/>
      <c r="T186" s="875"/>
      <c r="U186" s="875"/>
      <c r="V186" s="720"/>
      <c r="W186" s="720"/>
      <c r="X186" s="720"/>
      <c r="Y186" s="720"/>
      <c r="Z186" s="720"/>
      <c r="AA186" s="720"/>
      <c r="AB186" s="720"/>
    </row>
    <row r="187" spans="1:28" ht="12.75" hidden="1" customHeight="1">
      <c r="A187" s="873"/>
      <c r="B187" s="874"/>
      <c r="C187" s="874"/>
      <c r="D187" s="874"/>
      <c r="E187" s="874"/>
      <c r="F187" s="874"/>
      <c r="G187" s="893"/>
      <c r="H187" s="874"/>
      <c r="I187" s="874"/>
      <c r="J187" s="874"/>
      <c r="K187" s="894"/>
      <c r="L187" s="874"/>
      <c r="M187" s="874"/>
      <c r="N187" s="874"/>
      <c r="O187" s="874"/>
      <c r="P187" s="874"/>
      <c r="Q187" s="875"/>
      <c r="R187" s="875"/>
      <c r="S187" s="875"/>
      <c r="T187" s="875"/>
      <c r="U187" s="875"/>
      <c r="V187" s="720"/>
      <c r="W187" s="720"/>
      <c r="X187" s="720"/>
      <c r="Y187" s="720"/>
      <c r="Z187" s="720"/>
      <c r="AA187" s="720"/>
      <c r="AB187" s="720"/>
    </row>
    <row r="188" spans="1:28" ht="12.75" hidden="1" customHeight="1">
      <c r="A188" s="873"/>
      <c r="B188" s="874"/>
      <c r="C188" s="874"/>
      <c r="D188" s="874"/>
      <c r="E188" s="874"/>
      <c r="F188" s="874"/>
      <c r="G188" s="893"/>
      <c r="H188" s="874"/>
      <c r="I188" s="874"/>
      <c r="J188" s="874"/>
      <c r="K188" s="894"/>
      <c r="L188" s="874"/>
      <c r="M188" s="874"/>
      <c r="N188" s="874"/>
      <c r="O188" s="874"/>
      <c r="P188" s="874"/>
      <c r="Q188" s="875"/>
      <c r="R188" s="875"/>
      <c r="S188" s="875"/>
      <c r="T188" s="875"/>
      <c r="U188" s="875"/>
      <c r="V188" s="720"/>
      <c r="W188" s="720"/>
      <c r="X188" s="720"/>
      <c r="Y188" s="720"/>
      <c r="Z188" s="720"/>
      <c r="AA188" s="720"/>
      <c r="AB188" s="720"/>
    </row>
    <row r="189" spans="1:28" ht="12.75" hidden="1" customHeight="1">
      <c r="A189" s="873"/>
      <c r="B189" s="874"/>
      <c r="C189" s="874"/>
      <c r="D189" s="874"/>
      <c r="E189" s="874"/>
      <c r="F189" s="874"/>
      <c r="G189" s="893"/>
      <c r="H189" s="874"/>
      <c r="I189" s="874"/>
      <c r="J189" s="874"/>
      <c r="K189" s="894"/>
      <c r="L189" s="874"/>
      <c r="M189" s="874"/>
      <c r="N189" s="874"/>
      <c r="O189" s="874"/>
      <c r="P189" s="874"/>
      <c r="Q189" s="875"/>
      <c r="R189" s="875"/>
      <c r="S189" s="875"/>
      <c r="T189" s="875"/>
      <c r="U189" s="875"/>
      <c r="V189" s="720"/>
      <c r="W189" s="720"/>
      <c r="X189" s="720"/>
      <c r="Y189" s="720"/>
      <c r="Z189" s="720"/>
      <c r="AA189" s="720"/>
      <c r="AB189" s="720"/>
    </row>
    <row r="190" spans="1:28" ht="12.75" hidden="1" customHeight="1">
      <c r="A190" s="873"/>
      <c r="B190" s="874"/>
      <c r="C190" s="874"/>
      <c r="D190" s="874"/>
      <c r="E190" s="874"/>
      <c r="F190" s="874"/>
      <c r="G190" s="893"/>
      <c r="H190" s="874"/>
      <c r="I190" s="874"/>
      <c r="J190" s="874"/>
      <c r="K190" s="894"/>
      <c r="L190" s="874"/>
      <c r="M190" s="874"/>
      <c r="N190" s="874"/>
      <c r="O190" s="874"/>
      <c r="P190" s="874"/>
      <c r="Q190" s="875"/>
      <c r="R190" s="875"/>
      <c r="S190" s="875"/>
      <c r="T190" s="875"/>
      <c r="U190" s="875"/>
      <c r="V190" s="720"/>
      <c r="W190" s="720"/>
      <c r="X190" s="720"/>
      <c r="Y190" s="720"/>
      <c r="Z190" s="720"/>
      <c r="AA190" s="720"/>
      <c r="AB190" s="720"/>
    </row>
    <row r="191" spans="1:28" ht="12.75" hidden="1" customHeight="1">
      <c r="A191" s="873"/>
      <c r="B191" s="874"/>
      <c r="C191" s="874"/>
      <c r="D191" s="874"/>
      <c r="E191" s="874"/>
      <c r="F191" s="874"/>
      <c r="G191" s="893"/>
      <c r="H191" s="874"/>
      <c r="I191" s="874"/>
      <c r="J191" s="874"/>
      <c r="K191" s="894"/>
      <c r="L191" s="874"/>
      <c r="M191" s="874"/>
      <c r="N191" s="874"/>
      <c r="O191" s="874"/>
      <c r="P191" s="874"/>
      <c r="Q191" s="875"/>
      <c r="R191" s="875"/>
      <c r="S191" s="875"/>
      <c r="T191" s="875"/>
      <c r="U191" s="875"/>
      <c r="V191" s="720"/>
      <c r="W191" s="720"/>
      <c r="X191" s="720"/>
      <c r="Y191" s="720"/>
      <c r="Z191" s="720"/>
      <c r="AA191" s="720"/>
      <c r="AB191" s="720"/>
    </row>
    <row r="192" spans="1:28" ht="12.75" hidden="1" customHeight="1">
      <c r="A192" s="873"/>
      <c r="B192" s="874"/>
      <c r="C192" s="874"/>
      <c r="D192" s="874"/>
      <c r="E192" s="874"/>
      <c r="F192" s="874"/>
      <c r="G192" s="893"/>
      <c r="H192" s="874"/>
      <c r="I192" s="874"/>
      <c r="J192" s="874"/>
      <c r="K192" s="894"/>
      <c r="L192" s="874"/>
      <c r="M192" s="874"/>
      <c r="N192" s="874"/>
      <c r="O192" s="874"/>
      <c r="P192" s="874"/>
      <c r="Q192" s="875"/>
      <c r="R192" s="875"/>
      <c r="S192" s="875"/>
      <c r="T192" s="875"/>
      <c r="U192" s="875"/>
      <c r="V192" s="720"/>
      <c r="W192" s="720"/>
      <c r="X192" s="720"/>
      <c r="Y192" s="720"/>
      <c r="Z192" s="720"/>
      <c r="AA192" s="720"/>
      <c r="AB192" s="720"/>
    </row>
    <row r="193" spans="1:28" ht="12.75" hidden="1" customHeight="1">
      <c r="A193" s="873"/>
      <c r="B193" s="874"/>
      <c r="C193" s="874"/>
      <c r="D193" s="874"/>
      <c r="E193" s="874"/>
      <c r="F193" s="874"/>
      <c r="G193" s="893"/>
      <c r="H193" s="874"/>
      <c r="I193" s="874"/>
      <c r="J193" s="874"/>
      <c r="K193" s="894"/>
      <c r="L193" s="874"/>
      <c r="M193" s="874"/>
      <c r="N193" s="874"/>
      <c r="O193" s="874"/>
      <c r="P193" s="874"/>
      <c r="Q193" s="875"/>
      <c r="R193" s="875"/>
      <c r="S193" s="875"/>
      <c r="T193" s="875"/>
      <c r="U193" s="875"/>
      <c r="V193" s="720"/>
      <c r="W193" s="720"/>
      <c r="X193" s="720"/>
      <c r="Y193" s="720"/>
      <c r="Z193" s="720"/>
      <c r="AA193" s="720"/>
      <c r="AB193" s="720"/>
    </row>
    <row r="194" spans="1:28" ht="12.75" hidden="1" customHeight="1">
      <c r="A194" s="873"/>
      <c r="B194" s="874"/>
      <c r="C194" s="874"/>
      <c r="D194" s="874"/>
      <c r="E194" s="874"/>
      <c r="F194" s="874"/>
      <c r="G194" s="893"/>
      <c r="H194" s="874"/>
      <c r="I194" s="874"/>
      <c r="J194" s="874"/>
      <c r="K194" s="894"/>
      <c r="L194" s="874"/>
      <c r="M194" s="874"/>
      <c r="N194" s="874"/>
      <c r="O194" s="874"/>
      <c r="P194" s="874"/>
      <c r="Q194" s="875"/>
      <c r="R194" s="875"/>
      <c r="S194" s="875"/>
      <c r="T194" s="875"/>
      <c r="U194" s="875"/>
      <c r="V194" s="720"/>
      <c r="W194" s="720"/>
      <c r="X194" s="720"/>
      <c r="Y194" s="720"/>
      <c r="Z194" s="720"/>
      <c r="AA194" s="720"/>
      <c r="AB194" s="720"/>
    </row>
    <row r="195" spans="1:28" ht="12.75" hidden="1" customHeight="1">
      <c r="A195" s="873"/>
      <c r="B195" s="874"/>
      <c r="C195" s="874"/>
      <c r="D195" s="874"/>
      <c r="E195" s="874"/>
      <c r="F195" s="874"/>
      <c r="G195" s="893"/>
      <c r="H195" s="874"/>
      <c r="I195" s="874"/>
      <c r="J195" s="874"/>
      <c r="K195" s="894"/>
      <c r="L195" s="874"/>
      <c r="M195" s="874"/>
      <c r="N195" s="874"/>
      <c r="O195" s="874"/>
      <c r="P195" s="874"/>
      <c r="Q195" s="875"/>
      <c r="R195" s="875"/>
      <c r="S195" s="875"/>
      <c r="T195" s="875"/>
      <c r="U195" s="875"/>
      <c r="V195" s="720"/>
      <c r="W195" s="720"/>
      <c r="X195" s="720"/>
      <c r="Y195" s="720"/>
      <c r="Z195" s="720"/>
      <c r="AA195" s="720"/>
      <c r="AB195" s="720"/>
    </row>
    <row r="196" spans="1:28" ht="12.75" hidden="1" customHeight="1">
      <c r="A196" s="873"/>
      <c r="B196" s="874"/>
      <c r="C196" s="874"/>
      <c r="D196" s="874"/>
      <c r="E196" s="874"/>
      <c r="F196" s="874"/>
      <c r="G196" s="893"/>
      <c r="H196" s="874"/>
      <c r="I196" s="874"/>
      <c r="J196" s="874"/>
      <c r="K196" s="894"/>
      <c r="L196" s="874"/>
      <c r="M196" s="874"/>
      <c r="N196" s="874"/>
      <c r="O196" s="874"/>
      <c r="P196" s="874"/>
      <c r="Q196" s="875"/>
      <c r="R196" s="875"/>
      <c r="S196" s="875"/>
      <c r="T196" s="875"/>
      <c r="U196" s="875"/>
      <c r="V196" s="720"/>
      <c r="W196" s="720"/>
      <c r="X196" s="720"/>
      <c r="Y196" s="720"/>
      <c r="Z196" s="720"/>
      <c r="AA196" s="720"/>
      <c r="AB196" s="720"/>
    </row>
    <row r="197" spans="1:28" ht="12.75" hidden="1" customHeight="1">
      <c r="A197" s="873"/>
      <c r="B197" s="874"/>
      <c r="C197" s="874"/>
      <c r="D197" s="874"/>
      <c r="E197" s="874"/>
      <c r="F197" s="874"/>
      <c r="G197" s="893"/>
      <c r="H197" s="874"/>
      <c r="I197" s="874"/>
      <c r="J197" s="874"/>
      <c r="K197" s="894"/>
      <c r="L197" s="874"/>
      <c r="M197" s="874"/>
      <c r="N197" s="874"/>
      <c r="O197" s="874"/>
      <c r="P197" s="874"/>
      <c r="Q197" s="875"/>
      <c r="R197" s="875"/>
      <c r="S197" s="875"/>
      <c r="T197" s="875"/>
      <c r="U197" s="875"/>
      <c r="V197" s="720"/>
      <c r="W197" s="720"/>
      <c r="X197" s="720"/>
      <c r="Y197" s="720"/>
      <c r="Z197" s="720"/>
      <c r="AA197" s="720"/>
      <c r="AB197" s="720"/>
    </row>
    <row r="198" spans="1:28" ht="12.75" hidden="1" customHeight="1">
      <c r="A198" s="873"/>
      <c r="B198" s="874"/>
      <c r="C198" s="874"/>
      <c r="D198" s="874"/>
      <c r="E198" s="874"/>
      <c r="F198" s="874"/>
      <c r="G198" s="893"/>
      <c r="H198" s="874"/>
      <c r="I198" s="874"/>
      <c r="J198" s="874"/>
      <c r="K198" s="894"/>
      <c r="L198" s="874"/>
      <c r="M198" s="874"/>
      <c r="N198" s="874"/>
      <c r="O198" s="874"/>
      <c r="P198" s="874"/>
      <c r="Q198" s="875"/>
      <c r="R198" s="875"/>
      <c r="S198" s="875"/>
      <c r="T198" s="875"/>
      <c r="U198" s="875"/>
      <c r="V198" s="720"/>
      <c r="W198" s="720"/>
      <c r="X198" s="720"/>
      <c r="Y198" s="720"/>
      <c r="Z198" s="720"/>
      <c r="AA198" s="720"/>
      <c r="AB198" s="720"/>
    </row>
    <row r="199" spans="1:28" ht="12.75" customHeight="1">
      <c r="A199" s="873"/>
      <c r="B199" s="874"/>
      <c r="C199" s="874"/>
      <c r="D199" s="874"/>
      <c r="E199" s="874"/>
      <c r="F199" s="874"/>
      <c r="G199" s="893"/>
      <c r="H199" s="874"/>
      <c r="I199" s="874"/>
      <c r="J199" s="874"/>
      <c r="K199" s="894"/>
      <c r="L199" s="874"/>
      <c r="M199" s="874"/>
      <c r="N199" s="874"/>
      <c r="O199" s="874"/>
      <c r="P199" s="874"/>
      <c r="Q199" s="875"/>
      <c r="R199" s="875"/>
      <c r="S199" s="875"/>
      <c r="T199" s="875"/>
      <c r="U199" s="875"/>
      <c r="V199" s="720"/>
      <c r="W199" s="720"/>
      <c r="X199" s="720"/>
      <c r="Y199" s="720"/>
      <c r="Z199" s="720"/>
      <c r="AA199" s="720"/>
      <c r="AB199" s="720"/>
    </row>
    <row r="200" spans="1:28" ht="12.75" customHeight="1">
      <c r="A200" s="873"/>
      <c r="B200" s="874"/>
      <c r="C200" s="874"/>
      <c r="D200" s="874"/>
      <c r="E200" s="874"/>
      <c r="F200" s="874"/>
      <c r="G200" s="893"/>
      <c r="H200" s="874"/>
      <c r="I200" s="874"/>
      <c r="J200" s="874"/>
      <c r="K200" s="894"/>
      <c r="L200" s="874"/>
      <c r="M200" s="874"/>
      <c r="N200" s="874"/>
      <c r="O200" s="874"/>
      <c r="P200" s="874"/>
      <c r="Q200" s="875"/>
      <c r="R200" s="875"/>
      <c r="S200" s="875"/>
      <c r="T200" s="875"/>
      <c r="U200" s="875"/>
      <c r="V200" s="720"/>
      <c r="W200" s="720"/>
      <c r="X200" s="720"/>
      <c r="Y200" s="720"/>
      <c r="Z200" s="720"/>
      <c r="AA200" s="720"/>
      <c r="AB200" s="720"/>
    </row>
    <row r="201" spans="1:28" ht="12.75" customHeight="1">
      <c r="A201" s="873"/>
      <c r="B201" s="874"/>
      <c r="C201" s="874"/>
      <c r="D201" s="874"/>
      <c r="E201" s="874"/>
      <c r="F201" s="874"/>
      <c r="G201" s="893"/>
      <c r="H201" s="874"/>
      <c r="I201" s="898"/>
      <c r="J201" s="874"/>
      <c r="K201" s="894"/>
      <c r="L201" s="874"/>
      <c r="M201" s="874"/>
      <c r="N201" s="874"/>
      <c r="O201" s="874"/>
      <c r="P201" s="874"/>
      <c r="Q201" s="877"/>
      <c r="R201" s="877"/>
      <c r="S201" s="875"/>
      <c r="T201" s="875"/>
      <c r="U201" s="875"/>
      <c r="V201" s="720"/>
      <c r="W201" s="720"/>
      <c r="X201" s="720"/>
      <c r="Y201" s="720"/>
      <c r="Z201" s="720"/>
      <c r="AA201" s="720"/>
      <c r="AB201" s="720"/>
    </row>
    <row r="202" spans="1:28" ht="12.75" customHeight="1">
      <c r="A202" s="873"/>
      <c r="B202" s="874"/>
      <c r="C202" s="874"/>
      <c r="D202" s="874"/>
      <c r="E202" s="874"/>
      <c r="F202" s="874"/>
      <c r="G202" s="893"/>
      <c r="H202" s="874"/>
      <c r="I202" s="893"/>
      <c r="J202" s="874"/>
      <c r="K202" s="894"/>
      <c r="L202" s="874"/>
      <c r="M202" s="874"/>
      <c r="N202" s="874"/>
      <c r="O202" s="874"/>
      <c r="P202" s="874"/>
      <c r="Q202" s="875"/>
      <c r="R202" s="875"/>
      <c r="S202" s="875"/>
      <c r="T202" s="875"/>
      <c r="U202" s="875"/>
      <c r="V202" s="720"/>
      <c r="W202" s="720"/>
      <c r="X202" s="720"/>
      <c r="Y202" s="720"/>
      <c r="Z202" s="720"/>
      <c r="AA202" s="720"/>
      <c r="AB202" s="720"/>
    </row>
    <row r="203" spans="1:28" ht="12.75" customHeight="1">
      <c r="A203" s="873"/>
      <c r="B203" s="874"/>
      <c r="C203" s="874"/>
      <c r="D203" s="874"/>
      <c r="E203" s="874"/>
      <c r="F203" s="874"/>
      <c r="G203" s="893"/>
      <c r="H203" s="874"/>
      <c r="I203" s="893"/>
      <c r="J203" s="874"/>
      <c r="K203" s="894"/>
      <c r="L203" s="874"/>
      <c r="M203" s="874"/>
      <c r="N203" s="874"/>
      <c r="O203" s="874"/>
      <c r="P203" s="874"/>
      <c r="Q203" s="875"/>
      <c r="R203" s="875"/>
      <c r="S203" s="875"/>
      <c r="T203" s="875"/>
      <c r="U203" s="875"/>
      <c r="V203" s="720"/>
      <c r="W203" s="720"/>
      <c r="X203" s="720"/>
      <c r="Y203" s="720"/>
      <c r="Z203" s="720"/>
      <c r="AA203" s="720"/>
      <c r="AB203" s="720"/>
    </row>
    <row r="204" spans="1:28" ht="12.75" customHeight="1">
      <c r="A204" s="873"/>
      <c r="B204" s="874"/>
      <c r="C204" s="874"/>
      <c r="D204" s="874"/>
      <c r="E204" s="874"/>
      <c r="F204" s="874"/>
      <c r="G204" s="893"/>
      <c r="H204" s="874"/>
      <c r="I204" s="893"/>
      <c r="J204" s="874"/>
      <c r="K204" s="894"/>
      <c r="L204" s="874"/>
      <c r="M204" s="874"/>
      <c r="N204" s="874"/>
      <c r="O204" s="874"/>
      <c r="P204" s="874"/>
      <c r="Q204" s="875"/>
      <c r="R204" s="875"/>
      <c r="S204" s="875"/>
      <c r="T204" s="875"/>
      <c r="U204" s="875"/>
      <c r="V204" s="720"/>
      <c r="W204" s="720"/>
      <c r="X204" s="720"/>
      <c r="Y204" s="720"/>
      <c r="Z204" s="720"/>
      <c r="AA204" s="720"/>
      <c r="AB204" s="720"/>
    </row>
    <row r="205" spans="1:28" ht="12.75" customHeight="1">
      <c r="A205" s="873"/>
      <c r="B205" s="874"/>
      <c r="C205" s="874"/>
      <c r="D205" s="874"/>
      <c r="E205" s="874"/>
      <c r="F205" s="874"/>
      <c r="G205" s="893"/>
      <c r="H205" s="874"/>
      <c r="I205" s="893"/>
      <c r="J205" s="874"/>
      <c r="K205" s="894"/>
      <c r="L205" s="874"/>
      <c r="M205" s="874"/>
      <c r="N205" s="874"/>
      <c r="O205" s="874"/>
      <c r="P205" s="874"/>
      <c r="Q205" s="875"/>
      <c r="R205" s="875"/>
      <c r="S205" s="875"/>
      <c r="T205" s="875"/>
      <c r="U205" s="875"/>
      <c r="V205" s="720"/>
      <c r="W205" s="720"/>
      <c r="X205" s="720"/>
      <c r="Y205" s="720"/>
      <c r="Z205" s="720"/>
      <c r="AA205" s="720"/>
      <c r="AB205" s="720"/>
    </row>
    <row r="206" spans="1:28" ht="12.75" customHeight="1">
      <c r="A206" s="873"/>
      <c r="B206" s="874"/>
      <c r="C206" s="874"/>
      <c r="D206" s="874"/>
      <c r="E206" s="874"/>
      <c r="F206" s="874"/>
      <c r="G206" s="893"/>
      <c r="H206" s="874"/>
      <c r="I206" s="893"/>
      <c r="J206" s="874"/>
      <c r="K206" s="894"/>
      <c r="L206" s="874"/>
      <c r="M206" s="874"/>
      <c r="N206" s="874"/>
      <c r="O206" s="874"/>
      <c r="P206" s="874"/>
      <c r="Q206" s="875"/>
      <c r="R206" s="875"/>
      <c r="S206" s="875"/>
      <c r="T206" s="875"/>
      <c r="U206" s="875"/>
      <c r="V206" s="720"/>
      <c r="W206" s="720"/>
      <c r="X206" s="720"/>
      <c r="Y206" s="720"/>
      <c r="Z206" s="720"/>
      <c r="AA206" s="720"/>
      <c r="AB206" s="720"/>
    </row>
    <row r="207" spans="1:28" ht="12.75" customHeight="1">
      <c r="A207" s="873"/>
      <c r="B207" s="874"/>
      <c r="C207" s="874"/>
      <c r="D207" s="874"/>
      <c r="E207" s="874"/>
      <c r="F207" s="874"/>
      <c r="G207" s="893"/>
      <c r="H207" s="874"/>
      <c r="I207" s="874"/>
      <c r="J207" s="874"/>
      <c r="K207" s="894"/>
      <c r="L207" s="874"/>
      <c r="M207" s="874"/>
      <c r="N207" s="874"/>
      <c r="O207" s="874"/>
      <c r="P207" s="874"/>
      <c r="Q207" s="875"/>
      <c r="R207" s="875"/>
      <c r="S207" s="875"/>
      <c r="T207" s="875"/>
      <c r="U207" s="875"/>
      <c r="V207" s="720"/>
      <c r="W207" s="720"/>
      <c r="X207" s="720"/>
      <c r="Y207" s="720"/>
      <c r="Z207" s="720"/>
      <c r="AA207" s="720"/>
      <c r="AB207" s="720"/>
    </row>
    <row r="208" spans="1:28" ht="12.75" customHeight="1">
      <c r="A208" s="873"/>
      <c r="B208" s="874"/>
      <c r="C208" s="874"/>
      <c r="D208" s="874"/>
      <c r="E208" s="874"/>
      <c r="F208" s="874"/>
      <c r="G208" s="893"/>
      <c r="H208" s="874"/>
      <c r="I208" s="874"/>
      <c r="J208" s="874"/>
      <c r="K208" s="894"/>
      <c r="L208" s="874"/>
      <c r="M208" s="874"/>
      <c r="N208" s="874"/>
      <c r="O208" s="874"/>
      <c r="P208" s="874"/>
      <c r="Q208" s="875"/>
      <c r="R208" s="875"/>
      <c r="S208" s="875"/>
      <c r="T208" s="875"/>
      <c r="U208" s="875"/>
      <c r="V208" s="720"/>
      <c r="W208" s="720"/>
      <c r="X208" s="720"/>
      <c r="Y208" s="720"/>
      <c r="Z208" s="720"/>
      <c r="AA208" s="720"/>
      <c r="AB208" s="720"/>
    </row>
    <row r="209" spans="1:28" ht="12.75" customHeight="1">
      <c r="A209" s="873"/>
      <c r="B209" s="874"/>
      <c r="C209" s="874"/>
      <c r="D209" s="874"/>
      <c r="E209" s="874"/>
      <c r="F209" s="874"/>
      <c r="G209" s="893"/>
      <c r="H209" s="874"/>
      <c r="I209" s="874"/>
      <c r="J209" s="874"/>
      <c r="K209" s="894"/>
      <c r="L209" s="874"/>
      <c r="M209" s="874"/>
      <c r="N209" s="874"/>
      <c r="O209" s="874"/>
      <c r="P209" s="874"/>
      <c r="Q209" s="875"/>
      <c r="R209" s="875"/>
      <c r="S209" s="875"/>
      <c r="T209" s="875"/>
      <c r="U209" s="875"/>
      <c r="V209" s="720"/>
      <c r="W209" s="720"/>
      <c r="X209" s="720"/>
      <c r="Y209" s="720"/>
      <c r="Z209" s="720"/>
      <c r="AA209" s="720"/>
      <c r="AB209" s="720"/>
    </row>
    <row r="210" spans="1:28" ht="12.75" customHeight="1">
      <c r="A210" s="873"/>
      <c r="B210" s="874"/>
      <c r="C210" s="874"/>
      <c r="D210" s="874"/>
      <c r="E210" s="874"/>
      <c r="F210" s="874"/>
      <c r="G210" s="893"/>
      <c r="H210" s="874"/>
      <c r="I210" s="874"/>
      <c r="J210" s="874"/>
      <c r="K210" s="894"/>
      <c r="L210" s="874"/>
      <c r="M210" s="874"/>
      <c r="N210" s="874"/>
      <c r="O210" s="874"/>
      <c r="P210" s="874"/>
      <c r="Q210" s="875"/>
      <c r="R210" s="875"/>
      <c r="S210" s="875"/>
      <c r="T210" s="875"/>
      <c r="U210" s="875"/>
      <c r="V210" s="720"/>
      <c r="W210" s="720"/>
      <c r="X210" s="720"/>
      <c r="Y210" s="720"/>
      <c r="Z210" s="720"/>
      <c r="AA210" s="720"/>
      <c r="AB210" s="720"/>
    </row>
    <row r="211" spans="1:28" ht="12.75" customHeight="1">
      <c r="A211" s="873"/>
      <c r="B211" s="874"/>
      <c r="C211" s="874"/>
      <c r="D211" s="874"/>
      <c r="E211" s="874"/>
      <c r="F211" s="874"/>
      <c r="G211" s="893"/>
      <c r="H211" s="874"/>
      <c r="I211" s="874"/>
      <c r="J211" s="874"/>
      <c r="K211" s="894"/>
      <c r="L211" s="874"/>
      <c r="M211" s="874"/>
      <c r="N211" s="874"/>
      <c r="O211" s="874"/>
      <c r="P211" s="874"/>
      <c r="Q211" s="875"/>
      <c r="R211" s="875"/>
      <c r="S211" s="875"/>
      <c r="T211" s="875"/>
      <c r="U211" s="875"/>
      <c r="V211" s="720"/>
      <c r="W211" s="720"/>
      <c r="X211" s="720"/>
      <c r="Y211" s="720"/>
      <c r="Z211" s="720"/>
      <c r="AA211" s="720"/>
      <c r="AB211" s="720"/>
    </row>
    <row r="212" spans="1:28" ht="12.75" customHeight="1">
      <c r="A212" s="873"/>
      <c r="B212" s="874"/>
      <c r="C212" s="874"/>
      <c r="D212" s="874"/>
      <c r="E212" s="874"/>
      <c r="F212" s="874"/>
      <c r="G212" s="893"/>
      <c r="H212" s="874"/>
      <c r="I212" s="874"/>
      <c r="J212" s="874"/>
      <c r="K212" s="894"/>
      <c r="L212" s="874"/>
      <c r="M212" s="874"/>
      <c r="N212" s="874"/>
      <c r="O212" s="874"/>
      <c r="P212" s="874"/>
      <c r="Q212" s="875"/>
      <c r="R212" s="875"/>
      <c r="S212" s="875"/>
      <c r="T212" s="875"/>
      <c r="U212" s="875"/>
      <c r="V212" s="720"/>
      <c r="W212" s="720"/>
      <c r="X212" s="720"/>
      <c r="Y212" s="720"/>
      <c r="Z212" s="720"/>
      <c r="AA212" s="720"/>
      <c r="AB212" s="720"/>
    </row>
    <row r="213" spans="1:28" ht="12.75" customHeight="1">
      <c r="A213" s="873"/>
      <c r="B213" s="874"/>
      <c r="C213" s="874"/>
      <c r="D213" s="874"/>
      <c r="E213" s="874"/>
      <c r="F213" s="874"/>
      <c r="G213" s="893"/>
      <c r="H213" s="874"/>
      <c r="I213" s="874"/>
      <c r="J213" s="874"/>
      <c r="K213" s="894"/>
      <c r="L213" s="874"/>
      <c r="M213" s="874"/>
      <c r="N213" s="874"/>
      <c r="O213" s="874"/>
      <c r="P213" s="874"/>
      <c r="Q213" s="875"/>
      <c r="R213" s="875"/>
      <c r="S213" s="875"/>
      <c r="T213" s="875"/>
      <c r="U213" s="875"/>
      <c r="V213" s="720"/>
      <c r="W213" s="720"/>
      <c r="X213" s="720"/>
      <c r="Y213" s="720"/>
      <c r="Z213" s="720"/>
      <c r="AA213" s="720"/>
      <c r="AB213" s="720"/>
    </row>
    <row r="214" spans="1:28" ht="12.75" customHeight="1">
      <c r="A214" s="873"/>
      <c r="B214" s="874"/>
      <c r="C214" s="874"/>
      <c r="D214" s="874"/>
      <c r="E214" s="874"/>
      <c r="F214" s="874"/>
      <c r="G214" s="893"/>
      <c r="H214" s="874"/>
      <c r="I214" s="874"/>
      <c r="J214" s="874"/>
      <c r="K214" s="894"/>
      <c r="L214" s="874"/>
      <c r="M214" s="874"/>
      <c r="N214" s="874"/>
      <c r="O214" s="874"/>
      <c r="P214" s="874"/>
      <c r="Q214" s="875"/>
      <c r="R214" s="875"/>
      <c r="S214" s="875"/>
      <c r="T214" s="875"/>
      <c r="U214" s="875"/>
      <c r="V214" s="720"/>
      <c r="W214" s="720"/>
      <c r="X214" s="720"/>
      <c r="Y214" s="720"/>
      <c r="Z214" s="720"/>
      <c r="AA214" s="720"/>
      <c r="AB214" s="720"/>
    </row>
    <row r="215" spans="1:28" ht="12.75" customHeight="1">
      <c r="A215" s="873"/>
      <c r="B215" s="874"/>
      <c r="C215" s="874"/>
      <c r="D215" s="874"/>
      <c r="E215" s="874"/>
      <c r="F215" s="874"/>
      <c r="G215" s="893"/>
      <c r="H215" s="874"/>
      <c r="I215" s="874"/>
      <c r="J215" s="874"/>
      <c r="K215" s="894"/>
      <c r="L215" s="874"/>
      <c r="M215" s="874"/>
      <c r="N215" s="874"/>
      <c r="O215" s="874"/>
      <c r="P215" s="874"/>
      <c r="Q215" s="875"/>
      <c r="R215" s="875"/>
      <c r="S215" s="875"/>
      <c r="T215" s="875"/>
      <c r="U215" s="875"/>
      <c r="V215" s="720"/>
      <c r="W215" s="720"/>
      <c r="X215" s="720"/>
      <c r="Y215" s="720"/>
      <c r="Z215" s="720"/>
      <c r="AA215" s="720"/>
      <c r="AB215" s="720"/>
    </row>
    <row r="216" spans="1:28" ht="12.75" customHeight="1">
      <c r="A216" s="873"/>
      <c r="B216" s="874"/>
      <c r="C216" s="874"/>
      <c r="D216" s="874"/>
      <c r="E216" s="874"/>
      <c r="F216" s="874"/>
      <c r="G216" s="893"/>
      <c r="H216" s="874"/>
      <c r="I216" s="874"/>
      <c r="J216" s="874"/>
      <c r="K216" s="894"/>
      <c r="L216" s="874"/>
      <c r="M216" s="874"/>
      <c r="N216" s="874"/>
      <c r="O216" s="874"/>
      <c r="P216" s="874"/>
      <c r="Q216" s="875"/>
      <c r="R216" s="875"/>
      <c r="S216" s="875"/>
      <c r="T216" s="875"/>
      <c r="U216" s="875"/>
      <c r="V216" s="720"/>
      <c r="W216" s="720"/>
      <c r="X216" s="720"/>
      <c r="Y216" s="720"/>
      <c r="Z216" s="720"/>
      <c r="AA216" s="720"/>
      <c r="AB216" s="720"/>
    </row>
    <row r="217" spans="1:28" ht="12.75" customHeight="1">
      <c r="A217" s="873"/>
      <c r="B217" s="874"/>
      <c r="C217" s="874"/>
      <c r="D217" s="874"/>
      <c r="E217" s="874"/>
      <c r="F217" s="874"/>
      <c r="G217" s="893"/>
      <c r="H217" s="874"/>
      <c r="I217" s="874"/>
      <c r="J217" s="874"/>
      <c r="K217" s="894"/>
      <c r="L217" s="874"/>
      <c r="M217" s="874"/>
      <c r="N217" s="874"/>
      <c r="O217" s="874"/>
      <c r="P217" s="874"/>
      <c r="Q217" s="875"/>
      <c r="R217" s="875"/>
      <c r="S217" s="875"/>
      <c r="T217" s="875"/>
      <c r="U217" s="875"/>
      <c r="V217" s="720"/>
      <c r="W217" s="720"/>
      <c r="X217" s="720"/>
      <c r="Y217" s="720"/>
      <c r="Z217" s="720"/>
      <c r="AA217" s="720"/>
      <c r="AB217" s="720"/>
    </row>
    <row r="218" spans="1:28" ht="12.75" customHeight="1">
      <c r="A218" s="873"/>
      <c r="B218" s="874"/>
      <c r="C218" s="874"/>
      <c r="D218" s="874"/>
      <c r="E218" s="874"/>
      <c r="F218" s="874"/>
      <c r="G218" s="893"/>
      <c r="H218" s="874"/>
      <c r="I218" s="874"/>
      <c r="J218" s="874"/>
      <c r="K218" s="894"/>
      <c r="L218" s="874"/>
      <c r="M218" s="874"/>
      <c r="N218" s="874"/>
      <c r="O218" s="874"/>
      <c r="P218" s="874"/>
      <c r="Q218" s="875"/>
      <c r="R218" s="875"/>
      <c r="S218" s="875"/>
      <c r="T218" s="875"/>
      <c r="U218" s="875"/>
      <c r="V218" s="720"/>
      <c r="W218" s="720"/>
      <c r="X218" s="720"/>
      <c r="Y218" s="720"/>
      <c r="Z218" s="720"/>
      <c r="AA218" s="720"/>
      <c r="AB218" s="720"/>
    </row>
    <row r="219" spans="1:28" ht="12.75" customHeight="1">
      <c r="A219" s="873"/>
      <c r="B219" s="874"/>
      <c r="C219" s="874"/>
      <c r="D219" s="874"/>
      <c r="E219" s="874"/>
      <c r="F219" s="874"/>
      <c r="G219" s="893"/>
      <c r="H219" s="874"/>
      <c r="I219" s="874"/>
      <c r="J219" s="874"/>
      <c r="K219" s="894"/>
      <c r="L219" s="874"/>
      <c r="M219" s="874"/>
      <c r="N219" s="874"/>
      <c r="O219" s="874"/>
      <c r="P219" s="874"/>
      <c r="Q219" s="875"/>
      <c r="R219" s="875"/>
      <c r="S219" s="875"/>
      <c r="T219" s="875"/>
      <c r="U219" s="875"/>
      <c r="V219" s="720"/>
      <c r="W219" s="720"/>
      <c r="X219" s="720"/>
      <c r="Y219" s="720"/>
      <c r="Z219" s="720"/>
      <c r="AA219" s="720"/>
      <c r="AB219" s="720"/>
    </row>
    <row r="220" spans="1:28" ht="12.75" customHeight="1">
      <c r="A220" s="873"/>
      <c r="B220" s="874"/>
      <c r="C220" s="874"/>
      <c r="D220" s="874"/>
      <c r="E220" s="874"/>
      <c r="F220" s="874"/>
      <c r="G220" s="893"/>
      <c r="H220" s="874"/>
      <c r="I220" s="874"/>
      <c r="J220" s="874"/>
      <c r="K220" s="894"/>
      <c r="L220" s="874"/>
      <c r="M220" s="874"/>
      <c r="N220" s="874"/>
      <c r="O220" s="874"/>
      <c r="P220" s="874"/>
      <c r="Q220" s="875"/>
      <c r="R220" s="875"/>
      <c r="S220" s="875"/>
      <c r="T220" s="875"/>
      <c r="U220" s="875"/>
      <c r="V220" s="720"/>
      <c r="W220" s="720"/>
      <c r="X220" s="720"/>
      <c r="Y220" s="720"/>
      <c r="Z220" s="720"/>
      <c r="AA220" s="720"/>
      <c r="AB220" s="720"/>
    </row>
    <row r="221" spans="1:28" ht="12.75" customHeight="1">
      <c r="A221" s="873"/>
      <c r="B221" s="874"/>
      <c r="C221" s="874"/>
      <c r="D221" s="874"/>
      <c r="E221" s="874"/>
      <c r="F221" s="874"/>
      <c r="G221" s="893"/>
      <c r="H221" s="874"/>
      <c r="I221" s="874"/>
      <c r="J221" s="874"/>
      <c r="K221" s="894"/>
      <c r="L221" s="874"/>
      <c r="M221" s="874"/>
      <c r="N221" s="874"/>
      <c r="O221" s="874"/>
      <c r="P221" s="874"/>
      <c r="Q221" s="875"/>
      <c r="R221" s="875"/>
      <c r="S221" s="875"/>
      <c r="T221" s="875"/>
      <c r="U221" s="875"/>
      <c r="V221" s="720"/>
      <c r="W221" s="720"/>
      <c r="X221" s="720"/>
      <c r="Y221" s="720"/>
      <c r="Z221" s="720"/>
      <c r="AA221" s="720"/>
      <c r="AB221" s="720"/>
    </row>
    <row r="222" spans="1:28" ht="12.75" customHeight="1">
      <c r="A222" s="902"/>
      <c r="B222" s="903"/>
      <c r="C222" s="903"/>
      <c r="D222" s="903"/>
      <c r="E222" s="903"/>
      <c r="F222" s="903"/>
      <c r="G222" s="904"/>
      <c r="H222" s="903"/>
      <c r="I222" s="903"/>
      <c r="J222" s="903"/>
      <c r="K222" s="905"/>
      <c r="L222" s="903"/>
      <c r="M222" s="903"/>
      <c r="N222" s="903"/>
      <c r="O222" s="903"/>
      <c r="P222" s="903"/>
      <c r="Q222" s="720"/>
      <c r="R222" s="720"/>
      <c r="S222" s="720"/>
      <c r="T222" s="720"/>
      <c r="U222" s="720"/>
      <c r="V222" s="720"/>
      <c r="W222" s="720"/>
      <c r="X222" s="720"/>
      <c r="Y222" s="720"/>
      <c r="Z222" s="720"/>
      <c r="AA222" s="720"/>
      <c r="AB222" s="720"/>
    </row>
    <row r="223" spans="1:28" ht="12.75" customHeight="1">
      <c r="A223" s="902"/>
      <c r="B223" s="903"/>
      <c r="C223" s="903"/>
      <c r="D223" s="903"/>
      <c r="E223" s="903"/>
      <c r="F223" s="903"/>
      <c r="G223" s="904"/>
      <c r="H223" s="903"/>
      <c r="I223" s="903"/>
      <c r="J223" s="903"/>
      <c r="K223" s="905"/>
      <c r="L223" s="903"/>
      <c r="M223" s="903"/>
      <c r="N223" s="903"/>
      <c r="O223" s="903"/>
      <c r="P223" s="903"/>
      <c r="Q223" s="720"/>
      <c r="R223" s="720"/>
      <c r="S223" s="720"/>
      <c r="T223" s="720"/>
      <c r="U223" s="720"/>
      <c r="V223" s="720"/>
      <c r="W223" s="720"/>
      <c r="X223" s="720"/>
      <c r="Y223" s="720"/>
      <c r="Z223" s="720"/>
      <c r="AA223" s="720"/>
      <c r="AB223" s="720"/>
    </row>
    <row r="224" spans="1:28" ht="12.75" customHeight="1">
      <c r="A224" s="902"/>
      <c r="B224" s="903"/>
      <c r="C224" s="903"/>
      <c r="D224" s="903"/>
      <c r="E224" s="903"/>
      <c r="F224" s="903"/>
      <c r="G224" s="904"/>
      <c r="H224" s="903"/>
      <c r="I224" s="903"/>
      <c r="J224" s="903"/>
      <c r="K224" s="905"/>
      <c r="L224" s="903"/>
      <c r="M224" s="903"/>
      <c r="N224" s="903"/>
      <c r="O224" s="903"/>
      <c r="P224" s="903"/>
      <c r="Q224" s="720"/>
      <c r="R224" s="720"/>
      <c r="S224" s="720"/>
      <c r="T224" s="720"/>
      <c r="U224" s="720"/>
      <c r="V224" s="720"/>
      <c r="W224" s="720"/>
      <c r="X224" s="720"/>
      <c r="Y224" s="720"/>
      <c r="Z224" s="720"/>
      <c r="AA224" s="720"/>
      <c r="AB224" s="720"/>
    </row>
    <row r="225" spans="1:28" ht="12.75" customHeight="1">
      <c r="A225" s="902"/>
      <c r="B225" s="903"/>
      <c r="C225" s="903"/>
      <c r="D225" s="903"/>
      <c r="E225" s="903"/>
      <c r="F225" s="903"/>
      <c r="G225" s="904"/>
      <c r="H225" s="903"/>
      <c r="I225" s="903"/>
      <c r="J225" s="903"/>
      <c r="K225" s="905"/>
      <c r="L225" s="903"/>
      <c r="M225" s="903"/>
      <c r="N225" s="903"/>
      <c r="O225" s="903"/>
      <c r="P225" s="903"/>
      <c r="Q225" s="720"/>
      <c r="R225" s="720"/>
      <c r="S225" s="720"/>
      <c r="T225" s="720"/>
      <c r="U225" s="720"/>
      <c r="V225" s="720"/>
      <c r="W225" s="720"/>
      <c r="X225" s="720"/>
      <c r="Y225" s="720"/>
      <c r="Z225" s="720"/>
      <c r="AA225" s="720"/>
      <c r="AB225" s="720"/>
    </row>
    <row r="226" spans="1:28" ht="12.75" customHeight="1">
      <c r="A226" s="902"/>
      <c r="B226" s="903"/>
      <c r="C226" s="903"/>
      <c r="D226" s="903"/>
      <c r="E226" s="903"/>
      <c r="F226" s="903"/>
      <c r="G226" s="904"/>
      <c r="H226" s="903"/>
      <c r="I226" s="903"/>
      <c r="J226" s="903"/>
      <c r="K226" s="905"/>
      <c r="L226" s="903"/>
      <c r="M226" s="903"/>
      <c r="N226" s="903"/>
      <c r="O226" s="903"/>
      <c r="P226" s="903"/>
      <c r="Q226" s="720"/>
      <c r="R226" s="720"/>
      <c r="S226" s="720"/>
      <c r="T226" s="720"/>
      <c r="U226" s="720"/>
      <c r="V226" s="720"/>
      <c r="W226" s="720"/>
      <c r="X226" s="720"/>
      <c r="Y226" s="720"/>
      <c r="Z226" s="720"/>
      <c r="AA226" s="720"/>
      <c r="AB226" s="720"/>
    </row>
    <row r="227" spans="1:28" ht="12.75" customHeight="1">
      <c r="A227" s="902"/>
      <c r="B227" s="903"/>
      <c r="C227" s="903"/>
      <c r="D227" s="903"/>
      <c r="E227" s="903"/>
      <c r="F227" s="903"/>
      <c r="G227" s="904"/>
      <c r="H227" s="903"/>
      <c r="I227" s="903"/>
      <c r="J227" s="903"/>
      <c r="K227" s="905"/>
      <c r="L227" s="903"/>
      <c r="M227" s="903"/>
      <c r="N227" s="903"/>
      <c r="O227" s="903"/>
      <c r="P227" s="903"/>
      <c r="Q227" s="720"/>
      <c r="R227" s="720"/>
      <c r="S227" s="720"/>
      <c r="T227" s="720"/>
      <c r="U227" s="720"/>
      <c r="V227" s="720"/>
      <c r="W227" s="720"/>
      <c r="X227" s="720"/>
      <c r="Y227" s="720"/>
      <c r="Z227" s="720"/>
      <c r="AA227" s="720"/>
      <c r="AB227" s="720"/>
    </row>
    <row r="228" spans="1:28" ht="12.75" customHeight="1">
      <c r="A228" s="902"/>
      <c r="B228" s="903"/>
      <c r="C228" s="903"/>
      <c r="D228" s="903"/>
      <c r="E228" s="903"/>
      <c r="F228" s="903"/>
      <c r="G228" s="904"/>
      <c r="H228" s="903"/>
      <c r="I228" s="903"/>
      <c r="J228" s="903"/>
      <c r="K228" s="905"/>
      <c r="L228" s="903"/>
      <c r="M228" s="903"/>
      <c r="N228" s="903"/>
      <c r="O228" s="903"/>
      <c r="P228" s="903"/>
      <c r="Q228" s="720"/>
      <c r="R228" s="720"/>
      <c r="S228" s="720"/>
      <c r="T228" s="720"/>
      <c r="U228" s="720"/>
      <c r="V228" s="720"/>
      <c r="W228" s="720"/>
      <c r="X228" s="720"/>
      <c r="Y228" s="720"/>
      <c r="Z228" s="720"/>
      <c r="AA228" s="720"/>
      <c r="AB228" s="720"/>
    </row>
    <row r="229" spans="1:28" ht="12.75" customHeight="1">
      <c r="A229" s="902"/>
      <c r="B229" s="903"/>
      <c r="C229" s="903"/>
      <c r="D229" s="903"/>
      <c r="E229" s="903"/>
      <c r="F229" s="903"/>
      <c r="G229" s="904"/>
      <c r="H229" s="903"/>
      <c r="I229" s="903"/>
      <c r="J229" s="903"/>
      <c r="K229" s="905"/>
      <c r="L229" s="903"/>
      <c r="M229" s="903"/>
      <c r="N229" s="903"/>
      <c r="O229" s="903"/>
      <c r="P229" s="903"/>
      <c r="Q229" s="720"/>
      <c r="R229" s="720"/>
      <c r="S229" s="720"/>
      <c r="T229" s="720"/>
      <c r="U229" s="720"/>
      <c r="V229" s="720"/>
      <c r="W229" s="720"/>
      <c r="X229" s="720"/>
      <c r="Y229" s="720"/>
      <c r="Z229" s="720"/>
      <c r="AA229" s="720"/>
      <c r="AB229" s="720"/>
    </row>
    <row r="230" spans="1:28" ht="12.75" hidden="1" customHeight="1">
      <c r="A230" s="902"/>
      <c r="B230" s="903"/>
      <c r="C230" s="903"/>
      <c r="D230" s="903"/>
      <c r="E230" s="903"/>
      <c r="F230" s="903"/>
      <c r="G230" s="904"/>
      <c r="H230" s="903"/>
      <c r="I230" s="903"/>
      <c r="J230" s="903"/>
      <c r="K230" s="905"/>
      <c r="L230" s="903"/>
      <c r="M230" s="903"/>
      <c r="N230" s="903"/>
      <c r="O230" s="903"/>
      <c r="P230" s="903"/>
      <c r="Q230" s="720"/>
      <c r="R230" s="720"/>
      <c r="S230" s="720"/>
      <c r="T230" s="720"/>
      <c r="U230" s="720"/>
      <c r="V230" s="720"/>
      <c r="W230" s="720"/>
      <c r="X230" s="720"/>
      <c r="Y230" s="720"/>
      <c r="Z230" s="720"/>
      <c r="AA230" s="720"/>
      <c r="AB230" s="720"/>
    </row>
    <row r="231" spans="1:28" ht="12.75" customHeight="1">
      <c r="A231" s="902"/>
      <c r="B231" s="903"/>
      <c r="C231" s="903"/>
      <c r="D231" s="903"/>
      <c r="E231" s="903"/>
      <c r="F231" s="903"/>
      <c r="G231" s="904"/>
      <c r="H231" s="903"/>
      <c r="I231" s="903"/>
      <c r="J231" s="903"/>
      <c r="K231" s="905"/>
      <c r="L231" s="903"/>
      <c r="M231" s="903"/>
      <c r="N231" s="903"/>
      <c r="O231" s="903"/>
      <c r="P231" s="903"/>
      <c r="Q231" s="720"/>
      <c r="R231" s="720"/>
      <c r="S231" s="720"/>
      <c r="T231" s="720"/>
      <c r="U231" s="720"/>
      <c r="V231" s="720"/>
      <c r="W231" s="720"/>
      <c r="X231" s="720"/>
      <c r="Y231" s="720"/>
      <c r="Z231" s="720"/>
      <c r="AA231" s="720"/>
      <c r="AB231" s="720"/>
    </row>
    <row r="232" spans="1:28" ht="12.75" customHeight="1">
      <c r="A232" s="902"/>
      <c r="B232" s="903"/>
      <c r="C232" s="903"/>
      <c r="D232" s="903"/>
      <c r="E232" s="903"/>
      <c r="F232" s="903"/>
      <c r="G232" s="904"/>
      <c r="H232" s="903"/>
      <c r="I232" s="903"/>
      <c r="J232" s="903"/>
      <c r="K232" s="905"/>
      <c r="L232" s="903"/>
      <c r="M232" s="903"/>
      <c r="N232" s="903"/>
      <c r="O232" s="903"/>
      <c r="P232" s="903"/>
      <c r="Q232" s="720"/>
      <c r="R232" s="720"/>
      <c r="S232" s="720"/>
      <c r="T232" s="720"/>
      <c r="U232" s="720"/>
      <c r="V232" s="720"/>
      <c r="W232" s="720"/>
      <c r="X232" s="720"/>
      <c r="Y232" s="720"/>
      <c r="Z232" s="720"/>
      <c r="AA232" s="720"/>
      <c r="AB232" s="720"/>
    </row>
    <row r="233" spans="1:28" ht="12.75" customHeight="1">
      <c r="A233" s="902"/>
      <c r="B233" s="903"/>
      <c r="C233" s="903"/>
      <c r="D233" s="903"/>
      <c r="E233" s="903"/>
      <c r="F233" s="903"/>
      <c r="G233" s="904"/>
      <c r="H233" s="903"/>
      <c r="I233" s="903"/>
      <c r="J233" s="903"/>
      <c r="K233" s="905"/>
      <c r="L233" s="903"/>
      <c r="M233" s="903"/>
      <c r="N233" s="903"/>
      <c r="O233" s="903"/>
      <c r="P233" s="903"/>
      <c r="Q233" s="720"/>
      <c r="R233" s="720"/>
      <c r="S233" s="720"/>
      <c r="T233" s="720"/>
      <c r="U233" s="720"/>
      <c r="V233" s="720"/>
      <c r="W233" s="720"/>
      <c r="X233" s="720"/>
      <c r="Y233" s="720"/>
      <c r="Z233" s="720"/>
      <c r="AA233" s="720"/>
      <c r="AB233" s="720"/>
    </row>
    <row r="234" spans="1:28" ht="12.75" customHeight="1">
      <c r="A234" s="902"/>
      <c r="B234" s="903"/>
      <c r="C234" s="903"/>
      <c r="D234" s="903"/>
      <c r="E234" s="903"/>
      <c r="F234" s="903"/>
      <c r="G234" s="904"/>
      <c r="H234" s="903"/>
      <c r="I234" s="903"/>
      <c r="J234" s="903"/>
      <c r="K234" s="905"/>
      <c r="L234" s="903"/>
      <c r="M234" s="903"/>
      <c r="N234" s="903"/>
      <c r="O234" s="903"/>
      <c r="P234" s="903"/>
      <c r="Q234" s="720"/>
      <c r="R234" s="720"/>
      <c r="S234" s="720"/>
      <c r="T234" s="720"/>
      <c r="U234" s="720"/>
      <c r="V234" s="720"/>
      <c r="W234" s="720"/>
      <c r="X234" s="720"/>
      <c r="Y234" s="720"/>
      <c r="Z234" s="720"/>
      <c r="AA234" s="720"/>
      <c r="AB234" s="720"/>
    </row>
    <row r="235" spans="1:28" ht="12.75" customHeight="1">
      <c r="A235" s="902"/>
      <c r="B235" s="903"/>
      <c r="C235" s="903"/>
      <c r="D235" s="903"/>
      <c r="E235" s="903"/>
      <c r="F235" s="903"/>
      <c r="G235" s="904"/>
      <c r="H235" s="903"/>
      <c r="I235" s="903"/>
      <c r="J235" s="903"/>
      <c r="K235" s="905"/>
      <c r="L235" s="903"/>
      <c r="M235" s="903"/>
      <c r="N235" s="903"/>
      <c r="O235" s="903"/>
      <c r="P235" s="903"/>
      <c r="Q235" s="720"/>
      <c r="R235" s="720"/>
      <c r="S235" s="720"/>
      <c r="T235" s="720"/>
      <c r="U235" s="720"/>
      <c r="V235" s="720"/>
      <c r="W235" s="720"/>
      <c r="X235" s="720"/>
      <c r="Y235" s="720"/>
      <c r="Z235" s="720"/>
      <c r="AA235" s="720"/>
      <c r="AB235" s="720"/>
    </row>
    <row r="236" spans="1:28" ht="12.75" customHeight="1">
      <c r="A236" s="902"/>
      <c r="B236" s="903"/>
      <c r="C236" s="903"/>
      <c r="D236" s="903"/>
      <c r="E236" s="903"/>
      <c r="F236" s="903"/>
      <c r="G236" s="904"/>
      <c r="H236" s="903"/>
      <c r="I236" s="903"/>
      <c r="J236" s="903"/>
      <c r="K236" s="905"/>
      <c r="L236" s="903"/>
      <c r="M236" s="903"/>
      <c r="N236" s="903"/>
      <c r="O236" s="903"/>
      <c r="P236" s="903"/>
      <c r="Q236" s="720"/>
      <c r="R236" s="720"/>
      <c r="S236" s="720"/>
      <c r="T236" s="720"/>
      <c r="U236" s="720"/>
      <c r="V236" s="720"/>
      <c r="W236" s="720"/>
      <c r="X236" s="720"/>
      <c r="Y236" s="720"/>
      <c r="Z236" s="720"/>
      <c r="AA236" s="720"/>
      <c r="AB236" s="720"/>
    </row>
    <row r="237" spans="1:28" ht="12.75" customHeight="1">
      <c r="A237" s="902"/>
      <c r="B237" s="903"/>
      <c r="C237" s="903"/>
      <c r="D237" s="903"/>
      <c r="E237" s="903"/>
      <c r="F237" s="903"/>
      <c r="G237" s="904"/>
      <c r="H237" s="903"/>
      <c r="I237" s="903"/>
      <c r="J237" s="903"/>
      <c r="K237" s="905"/>
      <c r="L237" s="903"/>
      <c r="M237" s="903"/>
      <c r="N237" s="903"/>
      <c r="O237" s="903"/>
      <c r="P237" s="903"/>
      <c r="Q237" s="720"/>
      <c r="R237" s="720"/>
      <c r="S237" s="720"/>
      <c r="T237" s="720"/>
      <c r="U237" s="720"/>
      <c r="V237" s="720"/>
      <c r="W237" s="720"/>
      <c r="X237" s="720"/>
      <c r="Y237" s="720"/>
      <c r="Z237" s="720"/>
      <c r="AA237" s="720"/>
      <c r="AB237" s="720"/>
    </row>
    <row r="238" spans="1:28" ht="12.75" customHeight="1">
      <c r="A238" s="902"/>
      <c r="B238" s="903"/>
      <c r="C238" s="903"/>
      <c r="D238" s="903"/>
      <c r="E238" s="903"/>
      <c r="F238" s="903"/>
      <c r="G238" s="904"/>
      <c r="H238" s="903"/>
      <c r="I238" s="903"/>
      <c r="J238" s="903"/>
      <c r="K238" s="905"/>
      <c r="L238" s="903"/>
      <c r="M238" s="903"/>
      <c r="N238" s="903"/>
      <c r="O238" s="903"/>
      <c r="P238" s="903"/>
      <c r="Q238" s="720"/>
      <c r="R238" s="720"/>
      <c r="S238" s="720"/>
      <c r="T238" s="720"/>
      <c r="U238" s="720"/>
      <c r="V238" s="720"/>
      <c r="W238" s="720"/>
      <c r="X238" s="720"/>
      <c r="Y238" s="720"/>
      <c r="Z238" s="720"/>
      <c r="AA238" s="720"/>
      <c r="AB238" s="720"/>
    </row>
    <row r="239" spans="1:28" ht="12.75" customHeight="1">
      <c r="A239" s="902"/>
      <c r="B239" s="903"/>
      <c r="C239" s="903"/>
      <c r="D239" s="903"/>
      <c r="E239" s="903"/>
      <c r="F239" s="903"/>
      <c r="G239" s="904"/>
      <c r="H239" s="903"/>
      <c r="I239" s="903"/>
      <c r="J239" s="903"/>
      <c r="K239" s="905"/>
      <c r="L239" s="903"/>
      <c r="M239" s="903"/>
      <c r="N239" s="903"/>
      <c r="O239" s="903"/>
      <c r="P239" s="903"/>
      <c r="Q239" s="720"/>
      <c r="R239" s="720"/>
      <c r="S239" s="720"/>
      <c r="T239" s="720"/>
      <c r="U239" s="720"/>
      <c r="V239" s="720"/>
      <c r="W239" s="720"/>
      <c r="X239" s="720"/>
      <c r="Y239" s="720"/>
      <c r="Z239" s="720"/>
      <c r="AA239" s="720"/>
      <c r="AB239" s="720"/>
    </row>
    <row r="240" spans="1:28" ht="12.75" customHeight="1">
      <c r="A240" s="902"/>
      <c r="B240" s="903"/>
      <c r="C240" s="903"/>
      <c r="D240" s="903"/>
      <c r="E240" s="903"/>
      <c r="F240" s="903"/>
      <c r="G240" s="904"/>
      <c r="H240" s="903"/>
      <c r="I240" s="903"/>
      <c r="J240" s="903"/>
      <c r="K240" s="905"/>
      <c r="L240" s="903"/>
      <c r="M240" s="903"/>
      <c r="N240" s="903"/>
      <c r="O240" s="903"/>
      <c r="P240" s="903"/>
      <c r="Q240" s="720"/>
      <c r="R240" s="720"/>
      <c r="S240" s="720"/>
      <c r="T240" s="720"/>
      <c r="U240" s="720"/>
      <c r="V240" s="720"/>
      <c r="W240" s="720"/>
      <c r="X240" s="720"/>
      <c r="Y240" s="720"/>
      <c r="Z240" s="720"/>
      <c r="AA240" s="720"/>
      <c r="AB240" s="720"/>
    </row>
    <row r="241" spans="1:28" ht="12.75" customHeight="1">
      <c r="A241" s="902"/>
      <c r="B241" s="903"/>
      <c r="C241" s="903"/>
      <c r="D241" s="903"/>
      <c r="E241" s="903"/>
      <c r="F241" s="903"/>
      <c r="G241" s="904"/>
      <c r="H241" s="903"/>
      <c r="I241" s="903"/>
      <c r="J241" s="903"/>
      <c r="K241" s="905"/>
      <c r="L241" s="903"/>
      <c r="M241" s="903"/>
      <c r="N241" s="903"/>
      <c r="O241" s="903"/>
      <c r="P241" s="903"/>
      <c r="Q241" s="720"/>
      <c r="R241" s="720"/>
      <c r="S241" s="720"/>
      <c r="T241" s="720"/>
      <c r="U241" s="720"/>
      <c r="V241" s="720"/>
      <c r="W241" s="720"/>
      <c r="X241" s="720"/>
      <c r="Y241" s="720"/>
      <c r="Z241" s="720"/>
      <c r="AA241" s="720"/>
      <c r="AB241" s="720"/>
    </row>
    <row r="242" spans="1:28" ht="12.75" customHeight="1">
      <c r="A242" s="902"/>
      <c r="B242" s="903"/>
      <c r="C242" s="903"/>
      <c r="D242" s="903"/>
      <c r="E242" s="903"/>
      <c r="F242" s="903"/>
      <c r="G242" s="904"/>
      <c r="H242" s="903"/>
      <c r="I242" s="903"/>
      <c r="J242" s="903"/>
      <c r="K242" s="905"/>
      <c r="L242" s="903"/>
      <c r="M242" s="903"/>
      <c r="N242" s="903"/>
      <c r="O242" s="903"/>
      <c r="P242" s="903"/>
      <c r="Q242" s="720"/>
      <c r="R242" s="720"/>
      <c r="S242" s="720"/>
      <c r="T242" s="720"/>
      <c r="U242" s="720"/>
      <c r="V242" s="720"/>
      <c r="W242" s="720"/>
      <c r="X242" s="720"/>
      <c r="Y242" s="720"/>
      <c r="Z242" s="720"/>
      <c r="AA242" s="720"/>
      <c r="AB242" s="720"/>
    </row>
    <row r="243" spans="1:28" ht="12.75" customHeight="1">
      <c r="A243" s="902"/>
      <c r="B243" s="903"/>
      <c r="C243" s="903"/>
      <c r="D243" s="903"/>
      <c r="E243" s="903"/>
      <c r="F243" s="903"/>
      <c r="G243" s="904"/>
      <c r="H243" s="903"/>
      <c r="I243" s="903"/>
      <c r="J243" s="903"/>
      <c r="K243" s="905"/>
      <c r="L243" s="903"/>
      <c r="M243" s="903"/>
      <c r="N243" s="903"/>
      <c r="O243" s="903"/>
      <c r="P243" s="903"/>
      <c r="Q243" s="720"/>
      <c r="R243" s="720"/>
      <c r="S243" s="720"/>
      <c r="T243" s="720"/>
      <c r="U243" s="720"/>
      <c r="V243" s="720"/>
      <c r="W243" s="720"/>
      <c r="X243" s="720"/>
      <c r="Y243" s="720"/>
      <c r="Z243" s="720"/>
      <c r="AA243" s="720"/>
      <c r="AB243" s="720"/>
    </row>
    <row r="244" spans="1:28" ht="12.75" customHeight="1">
      <c r="A244" s="902"/>
      <c r="B244" s="903"/>
      <c r="C244" s="903"/>
      <c r="D244" s="903"/>
      <c r="E244" s="903"/>
      <c r="F244" s="903"/>
      <c r="G244" s="904"/>
      <c r="H244" s="903"/>
      <c r="I244" s="903"/>
      <c r="J244" s="903"/>
      <c r="K244" s="905"/>
      <c r="L244" s="903"/>
      <c r="M244" s="903"/>
      <c r="N244" s="903"/>
      <c r="O244" s="903"/>
      <c r="P244" s="903"/>
      <c r="Q244" s="720"/>
      <c r="R244" s="720"/>
      <c r="S244" s="720"/>
      <c r="T244" s="720"/>
      <c r="U244" s="720"/>
      <c r="V244" s="720"/>
      <c r="W244" s="720"/>
      <c r="X244" s="720"/>
      <c r="Y244" s="720"/>
      <c r="Z244" s="720"/>
      <c r="AA244" s="720"/>
      <c r="AB244" s="720"/>
    </row>
    <row r="245" spans="1:28" ht="12.75" customHeight="1">
      <c r="A245" s="902"/>
      <c r="B245" s="903"/>
      <c r="C245" s="903"/>
      <c r="D245" s="903"/>
      <c r="E245" s="903"/>
      <c r="F245" s="903"/>
      <c r="G245" s="904"/>
      <c r="H245" s="903"/>
      <c r="I245" s="903"/>
      <c r="J245" s="903"/>
      <c r="K245" s="905"/>
      <c r="L245" s="903"/>
      <c r="M245" s="903"/>
      <c r="N245" s="903"/>
      <c r="O245" s="903"/>
      <c r="P245" s="903"/>
      <c r="Q245" s="720"/>
      <c r="R245" s="720"/>
      <c r="S245" s="720"/>
      <c r="T245" s="720"/>
      <c r="U245" s="720"/>
      <c r="V245" s="720"/>
      <c r="W245" s="720"/>
      <c r="X245" s="720"/>
      <c r="Y245" s="720"/>
      <c r="Z245" s="720"/>
      <c r="AA245" s="720"/>
      <c r="AB245" s="720"/>
    </row>
    <row r="246" spans="1:28" ht="12.75" customHeight="1">
      <c r="A246" s="902"/>
      <c r="B246" s="903"/>
      <c r="C246" s="903"/>
      <c r="D246" s="903"/>
      <c r="E246" s="903"/>
      <c r="F246" s="903"/>
      <c r="G246" s="904"/>
      <c r="H246" s="903"/>
      <c r="I246" s="903"/>
      <c r="J246" s="903"/>
      <c r="K246" s="905"/>
      <c r="L246" s="903"/>
      <c r="M246" s="903"/>
      <c r="N246" s="903"/>
      <c r="O246" s="903"/>
      <c r="P246" s="903"/>
      <c r="Q246" s="720"/>
      <c r="R246" s="720"/>
      <c r="S246" s="720"/>
      <c r="T246" s="720"/>
      <c r="U246" s="720"/>
      <c r="V246" s="720"/>
      <c r="W246" s="720"/>
      <c r="X246" s="720"/>
      <c r="Y246" s="720"/>
      <c r="Z246" s="720"/>
      <c r="AA246" s="720"/>
      <c r="AB246" s="720"/>
    </row>
    <row r="247" spans="1:28" ht="12.75" customHeight="1">
      <c r="A247" s="902"/>
      <c r="B247" s="903"/>
      <c r="C247" s="903"/>
      <c r="D247" s="903"/>
      <c r="E247" s="903"/>
      <c r="F247" s="903"/>
      <c r="G247" s="904"/>
      <c r="H247" s="903"/>
      <c r="I247" s="903"/>
      <c r="J247" s="903"/>
      <c r="K247" s="905"/>
      <c r="L247" s="903"/>
      <c r="M247" s="903"/>
      <c r="N247" s="903"/>
      <c r="O247" s="903"/>
      <c r="P247" s="903"/>
      <c r="Q247" s="720"/>
      <c r="R247" s="720"/>
      <c r="S247" s="720"/>
      <c r="T247" s="720"/>
      <c r="U247" s="720"/>
      <c r="V247" s="720"/>
      <c r="W247" s="720"/>
      <c r="X247" s="720"/>
      <c r="Y247" s="720"/>
      <c r="Z247" s="720"/>
      <c r="AA247" s="720"/>
      <c r="AB247" s="720"/>
    </row>
    <row r="248" spans="1:28" ht="12.75" customHeight="1">
      <c r="A248" s="902"/>
      <c r="B248" s="903"/>
      <c r="C248" s="903"/>
      <c r="D248" s="903"/>
      <c r="E248" s="903"/>
      <c r="F248" s="903"/>
      <c r="G248" s="904"/>
      <c r="H248" s="903"/>
      <c r="I248" s="903"/>
      <c r="J248" s="903"/>
      <c r="K248" s="905"/>
      <c r="L248" s="903"/>
      <c r="M248" s="903"/>
      <c r="N248" s="903"/>
      <c r="O248" s="903"/>
      <c r="P248" s="903"/>
      <c r="Q248" s="720"/>
      <c r="R248" s="720"/>
      <c r="S248" s="720"/>
      <c r="T248" s="720"/>
      <c r="U248" s="720"/>
      <c r="V248" s="720"/>
      <c r="W248" s="720"/>
      <c r="X248" s="720"/>
      <c r="Y248" s="720"/>
      <c r="Z248" s="720"/>
      <c r="AA248" s="720"/>
      <c r="AB248" s="720"/>
    </row>
    <row r="249" spans="1:28" ht="12.75" customHeight="1">
      <c r="A249" s="902"/>
      <c r="B249" s="903"/>
      <c r="C249" s="903"/>
      <c r="D249" s="903"/>
      <c r="E249" s="903"/>
      <c r="F249" s="903"/>
      <c r="G249" s="904"/>
      <c r="H249" s="903"/>
      <c r="I249" s="903"/>
      <c r="J249" s="903"/>
      <c r="K249" s="905"/>
      <c r="L249" s="903"/>
      <c r="M249" s="903"/>
      <c r="N249" s="903"/>
      <c r="O249" s="903"/>
      <c r="P249" s="903"/>
      <c r="Q249" s="720"/>
      <c r="R249" s="720"/>
      <c r="S249" s="720"/>
      <c r="T249" s="720"/>
      <c r="U249" s="720"/>
      <c r="V249" s="720"/>
      <c r="W249" s="720"/>
      <c r="X249" s="720"/>
      <c r="Y249" s="720"/>
      <c r="Z249" s="720"/>
      <c r="AA249" s="720"/>
      <c r="AB249" s="720"/>
    </row>
    <row r="250" spans="1:28" ht="12.75" customHeight="1">
      <c r="A250" s="902"/>
      <c r="B250" s="903"/>
      <c r="C250" s="903"/>
      <c r="D250" s="903"/>
      <c r="E250" s="903"/>
      <c r="F250" s="903"/>
      <c r="G250" s="904"/>
      <c r="H250" s="903"/>
      <c r="I250" s="903"/>
      <c r="J250" s="903"/>
      <c r="K250" s="905"/>
      <c r="L250" s="903"/>
      <c r="M250" s="903"/>
      <c r="N250" s="903"/>
      <c r="O250" s="903"/>
      <c r="P250" s="903"/>
      <c r="Q250" s="720"/>
      <c r="R250" s="720"/>
      <c r="S250" s="720"/>
      <c r="T250" s="720"/>
      <c r="U250" s="720"/>
      <c r="V250" s="720"/>
      <c r="W250" s="720"/>
      <c r="X250" s="720"/>
      <c r="Y250" s="720"/>
      <c r="Z250" s="720"/>
      <c r="AA250" s="720"/>
      <c r="AB250" s="720"/>
    </row>
    <row r="251" spans="1:28" ht="12.75" customHeight="1">
      <c r="A251" s="902"/>
      <c r="B251" s="903"/>
      <c r="C251" s="903"/>
      <c r="D251" s="903"/>
      <c r="E251" s="903"/>
      <c r="F251" s="903"/>
      <c r="G251" s="904"/>
      <c r="H251" s="903"/>
      <c r="I251" s="903"/>
      <c r="J251" s="903"/>
      <c r="K251" s="905"/>
      <c r="L251" s="903"/>
      <c r="M251" s="903"/>
      <c r="N251" s="903"/>
      <c r="O251" s="903"/>
      <c r="P251" s="903"/>
      <c r="Q251" s="720"/>
      <c r="R251" s="720"/>
      <c r="S251" s="720"/>
      <c r="T251" s="720"/>
      <c r="U251" s="720"/>
      <c r="V251" s="720"/>
      <c r="W251" s="720"/>
      <c r="X251" s="720"/>
      <c r="Y251" s="720"/>
      <c r="Z251" s="720"/>
      <c r="AA251" s="720"/>
      <c r="AB251" s="720"/>
    </row>
    <row r="252" spans="1:28" ht="12.75" customHeight="1">
      <c r="A252" s="902"/>
      <c r="B252" s="903"/>
      <c r="C252" s="903"/>
      <c r="D252" s="903"/>
      <c r="E252" s="903"/>
      <c r="F252" s="903"/>
      <c r="G252" s="904"/>
      <c r="H252" s="903"/>
      <c r="I252" s="903"/>
      <c r="J252" s="903"/>
      <c r="K252" s="905"/>
      <c r="L252" s="903"/>
      <c r="M252" s="903"/>
      <c r="N252" s="903"/>
      <c r="O252" s="903"/>
      <c r="P252" s="903"/>
      <c r="Q252" s="720"/>
      <c r="R252" s="720"/>
      <c r="S252" s="720"/>
      <c r="T252" s="720"/>
      <c r="U252" s="720"/>
      <c r="V252" s="720"/>
      <c r="W252" s="720"/>
      <c r="X252" s="720"/>
      <c r="Y252" s="720"/>
      <c r="Z252" s="720"/>
      <c r="AA252" s="720"/>
      <c r="AB252" s="720"/>
    </row>
    <row r="253" spans="1:28" ht="12.75" customHeight="1">
      <c r="A253" s="902"/>
      <c r="B253" s="903"/>
      <c r="C253" s="903"/>
      <c r="D253" s="903"/>
      <c r="E253" s="903"/>
      <c r="F253" s="903"/>
      <c r="G253" s="904"/>
      <c r="H253" s="903"/>
      <c r="I253" s="903"/>
      <c r="J253" s="903"/>
      <c r="K253" s="905"/>
      <c r="L253" s="903"/>
      <c r="M253" s="903"/>
      <c r="N253" s="903"/>
      <c r="O253" s="903"/>
      <c r="P253" s="903"/>
      <c r="Q253" s="720"/>
      <c r="R253" s="720"/>
      <c r="S253" s="720"/>
      <c r="T253" s="720"/>
      <c r="U253" s="720"/>
      <c r="V253" s="720"/>
      <c r="W253" s="720"/>
      <c r="X253" s="720"/>
      <c r="Y253" s="720"/>
      <c r="Z253" s="720"/>
      <c r="AA253" s="720"/>
      <c r="AB253" s="720"/>
    </row>
    <row r="254" spans="1:28" ht="12.75" customHeight="1">
      <c r="A254" s="902"/>
      <c r="B254" s="903"/>
      <c r="C254" s="903"/>
      <c r="D254" s="903"/>
      <c r="E254" s="903"/>
      <c r="F254" s="903"/>
      <c r="G254" s="904"/>
      <c r="H254" s="903"/>
      <c r="I254" s="903"/>
      <c r="J254" s="903"/>
      <c r="K254" s="905"/>
      <c r="L254" s="903"/>
      <c r="M254" s="903"/>
      <c r="N254" s="903"/>
      <c r="O254" s="903"/>
      <c r="P254" s="903"/>
      <c r="Q254" s="720"/>
      <c r="R254" s="720"/>
      <c r="S254" s="720"/>
      <c r="T254" s="720"/>
      <c r="U254" s="720"/>
      <c r="V254" s="720"/>
      <c r="W254" s="720"/>
      <c r="X254" s="720"/>
      <c r="Y254" s="720"/>
      <c r="Z254" s="720"/>
      <c r="AA254" s="720"/>
      <c r="AB254" s="720"/>
    </row>
    <row r="255" spans="1:28" ht="12.75" customHeight="1">
      <c r="A255" s="902"/>
      <c r="B255" s="903"/>
      <c r="C255" s="903"/>
      <c r="D255" s="903"/>
      <c r="E255" s="903"/>
      <c r="F255" s="903"/>
      <c r="G255" s="904"/>
      <c r="H255" s="903"/>
      <c r="I255" s="903"/>
      <c r="J255" s="903"/>
      <c r="K255" s="905"/>
      <c r="L255" s="903"/>
      <c r="M255" s="903"/>
      <c r="N255" s="903"/>
      <c r="O255" s="903"/>
      <c r="P255" s="903"/>
      <c r="Q255" s="720"/>
      <c r="R255" s="720"/>
      <c r="S255" s="720"/>
      <c r="T255" s="720"/>
      <c r="U255" s="720"/>
      <c r="V255" s="720"/>
      <c r="W255" s="720"/>
      <c r="X255" s="720"/>
      <c r="Y255" s="720"/>
      <c r="Z255" s="720"/>
      <c r="AA255" s="720"/>
      <c r="AB255" s="720"/>
    </row>
    <row r="256" spans="1:28" ht="12.75" customHeight="1">
      <c r="A256" s="902"/>
      <c r="B256" s="903"/>
      <c r="C256" s="903"/>
      <c r="D256" s="903"/>
      <c r="E256" s="903"/>
      <c r="F256" s="903"/>
      <c r="G256" s="904"/>
      <c r="H256" s="903"/>
      <c r="I256" s="903"/>
      <c r="J256" s="903"/>
      <c r="K256" s="905"/>
      <c r="L256" s="903"/>
      <c r="M256" s="903"/>
      <c r="N256" s="903"/>
      <c r="O256" s="903"/>
      <c r="P256" s="903"/>
      <c r="Q256" s="720"/>
      <c r="R256" s="720"/>
      <c r="S256" s="720"/>
      <c r="T256" s="720"/>
      <c r="U256" s="720"/>
      <c r="V256" s="720"/>
      <c r="W256" s="720"/>
      <c r="X256" s="720"/>
      <c r="Y256" s="720"/>
      <c r="Z256" s="720"/>
      <c r="AA256" s="720"/>
      <c r="AB256" s="720"/>
    </row>
    <row r="257" spans="1:28" ht="12.75" customHeight="1">
      <c r="A257" s="902"/>
      <c r="B257" s="903"/>
      <c r="C257" s="903"/>
      <c r="D257" s="903"/>
      <c r="E257" s="903"/>
      <c r="F257" s="903"/>
      <c r="G257" s="904"/>
      <c r="H257" s="903"/>
      <c r="I257" s="903"/>
      <c r="J257" s="903"/>
      <c r="K257" s="905"/>
      <c r="L257" s="903"/>
      <c r="M257" s="903"/>
      <c r="N257" s="903"/>
      <c r="O257" s="903"/>
      <c r="P257" s="903"/>
      <c r="Q257" s="720"/>
      <c r="R257" s="720"/>
      <c r="S257" s="720"/>
      <c r="T257" s="720"/>
      <c r="U257" s="720"/>
      <c r="V257" s="720"/>
      <c r="W257" s="720"/>
      <c r="X257" s="720"/>
      <c r="Y257" s="720"/>
      <c r="Z257" s="720"/>
      <c r="AA257" s="720"/>
      <c r="AB257" s="720"/>
    </row>
    <row r="258" spans="1:28" ht="12.75" customHeight="1">
      <c r="A258" s="902"/>
      <c r="B258" s="903"/>
      <c r="C258" s="903"/>
      <c r="D258" s="903"/>
      <c r="E258" s="903"/>
      <c r="F258" s="903"/>
      <c r="G258" s="904"/>
      <c r="H258" s="903"/>
      <c r="I258" s="903"/>
      <c r="J258" s="903"/>
      <c r="K258" s="905"/>
      <c r="L258" s="903"/>
      <c r="M258" s="903"/>
      <c r="N258" s="903"/>
      <c r="O258" s="903"/>
      <c r="P258" s="903"/>
      <c r="Q258" s="720"/>
      <c r="R258" s="720"/>
      <c r="S258" s="720"/>
      <c r="T258" s="720"/>
      <c r="U258" s="720"/>
      <c r="V258" s="720"/>
      <c r="W258" s="720"/>
      <c r="X258" s="720"/>
      <c r="Y258" s="720"/>
      <c r="Z258" s="720"/>
      <c r="AA258" s="720"/>
      <c r="AB258" s="720"/>
    </row>
    <row r="259" spans="1:28" ht="12.75" customHeight="1">
      <c r="A259" s="902"/>
      <c r="B259" s="903"/>
      <c r="C259" s="903"/>
      <c r="D259" s="903"/>
      <c r="E259" s="903"/>
      <c r="F259" s="903"/>
      <c r="G259" s="904"/>
      <c r="H259" s="903"/>
      <c r="I259" s="903"/>
      <c r="J259" s="903"/>
      <c r="K259" s="905"/>
      <c r="L259" s="903"/>
      <c r="M259" s="903"/>
      <c r="N259" s="903"/>
      <c r="O259" s="903"/>
      <c r="P259" s="903"/>
      <c r="Q259" s="720"/>
      <c r="R259" s="720"/>
      <c r="S259" s="720"/>
      <c r="T259" s="720"/>
      <c r="U259" s="720"/>
      <c r="V259" s="720"/>
      <c r="W259" s="720"/>
      <c r="X259" s="720"/>
      <c r="Y259" s="720"/>
      <c r="Z259" s="720"/>
      <c r="AA259" s="720"/>
      <c r="AB259" s="720"/>
    </row>
    <row r="260" spans="1:28" ht="12.75" customHeight="1">
      <c r="A260" s="902"/>
      <c r="B260" s="903"/>
      <c r="C260" s="903"/>
      <c r="D260" s="903"/>
      <c r="E260" s="903"/>
      <c r="F260" s="903"/>
      <c r="G260" s="904"/>
      <c r="H260" s="903"/>
      <c r="I260" s="903"/>
      <c r="J260" s="903"/>
      <c r="K260" s="905"/>
      <c r="L260" s="903"/>
      <c r="M260" s="903"/>
      <c r="N260" s="903"/>
      <c r="O260" s="903"/>
      <c r="P260" s="903"/>
      <c r="Q260" s="720"/>
      <c r="R260" s="720"/>
      <c r="S260" s="720"/>
      <c r="T260" s="720"/>
      <c r="U260" s="720"/>
      <c r="V260" s="720"/>
      <c r="W260" s="720"/>
      <c r="X260" s="720"/>
      <c r="Y260" s="720"/>
      <c r="Z260" s="720"/>
      <c r="AA260" s="720"/>
      <c r="AB260" s="720"/>
    </row>
    <row r="261" spans="1:28" ht="12.75" customHeight="1">
      <c r="A261" s="902"/>
      <c r="B261" s="903"/>
      <c r="C261" s="903"/>
      <c r="D261" s="903"/>
      <c r="E261" s="903"/>
      <c r="F261" s="903"/>
      <c r="G261" s="904"/>
      <c r="H261" s="903"/>
      <c r="I261" s="903"/>
      <c r="J261" s="903"/>
      <c r="K261" s="905"/>
      <c r="L261" s="903"/>
      <c r="M261" s="903"/>
      <c r="N261" s="903"/>
      <c r="O261" s="903"/>
      <c r="P261" s="903"/>
      <c r="Q261" s="720"/>
      <c r="R261" s="720"/>
      <c r="S261" s="720"/>
      <c r="T261" s="720"/>
      <c r="U261" s="720"/>
      <c r="V261" s="720"/>
      <c r="W261" s="720"/>
      <c r="X261" s="720"/>
      <c r="Y261" s="720"/>
      <c r="Z261" s="720"/>
      <c r="AA261" s="720"/>
      <c r="AB261" s="720"/>
    </row>
    <row r="262" spans="1:28" ht="12.75" customHeight="1">
      <c r="A262" s="902"/>
      <c r="B262" s="903"/>
      <c r="C262" s="903"/>
      <c r="D262" s="903"/>
      <c r="E262" s="903"/>
      <c r="F262" s="903"/>
      <c r="G262" s="904"/>
      <c r="H262" s="903"/>
      <c r="I262" s="903"/>
      <c r="J262" s="903"/>
      <c r="K262" s="905"/>
      <c r="L262" s="903"/>
      <c r="M262" s="903"/>
      <c r="N262" s="903"/>
      <c r="O262" s="903"/>
      <c r="P262" s="903"/>
      <c r="Q262" s="720"/>
      <c r="R262" s="720"/>
      <c r="S262" s="720"/>
      <c r="T262" s="720"/>
      <c r="U262" s="720"/>
      <c r="V262" s="720"/>
      <c r="W262" s="720"/>
      <c r="X262" s="720"/>
      <c r="Y262" s="720"/>
      <c r="Z262" s="720"/>
      <c r="AA262" s="720"/>
      <c r="AB262" s="720"/>
    </row>
    <row r="263" spans="1:28" ht="12.75" customHeight="1">
      <c r="A263" s="902"/>
      <c r="B263" s="903"/>
      <c r="C263" s="903"/>
      <c r="D263" s="903"/>
      <c r="E263" s="903"/>
      <c r="F263" s="903"/>
      <c r="G263" s="904"/>
      <c r="H263" s="903"/>
      <c r="I263" s="903"/>
      <c r="J263" s="903"/>
      <c r="K263" s="905"/>
      <c r="L263" s="903"/>
      <c r="M263" s="903"/>
      <c r="N263" s="903"/>
      <c r="O263" s="903"/>
      <c r="P263" s="903"/>
      <c r="Q263" s="720"/>
      <c r="R263" s="720"/>
      <c r="S263" s="720"/>
      <c r="T263" s="720"/>
      <c r="U263" s="720"/>
      <c r="V263" s="720"/>
      <c r="W263" s="720"/>
      <c r="X263" s="720"/>
      <c r="Y263" s="720"/>
      <c r="Z263" s="720"/>
      <c r="AA263" s="720"/>
      <c r="AB263" s="720"/>
    </row>
    <row r="264" spans="1:28" ht="12.75" customHeight="1">
      <c r="A264" s="902"/>
      <c r="B264" s="903"/>
      <c r="C264" s="903"/>
      <c r="D264" s="903"/>
      <c r="E264" s="903"/>
      <c r="F264" s="903"/>
      <c r="G264" s="904"/>
      <c r="H264" s="903"/>
      <c r="I264" s="903"/>
      <c r="J264" s="903"/>
      <c r="K264" s="905"/>
      <c r="L264" s="903"/>
      <c r="M264" s="903"/>
      <c r="N264" s="903"/>
      <c r="O264" s="903"/>
      <c r="P264" s="903"/>
      <c r="Q264" s="720"/>
      <c r="R264" s="720"/>
      <c r="S264" s="720"/>
      <c r="T264" s="720"/>
      <c r="U264" s="720"/>
      <c r="V264" s="720"/>
      <c r="W264" s="720"/>
      <c r="X264" s="720"/>
      <c r="Y264" s="720"/>
      <c r="Z264" s="720"/>
      <c r="AA264" s="720"/>
      <c r="AB264" s="720"/>
    </row>
    <row r="265" spans="1:28" ht="12.75" customHeight="1">
      <c r="A265" s="902"/>
      <c r="B265" s="903"/>
      <c r="C265" s="903"/>
      <c r="D265" s="903"/>
      <c r="E265" s="903"/>
      <c r="F265" s="903"/>
      <c r="G265" s="904"/>
      <c r="H265" s="903"/>
      <c r="I265" s="903"/>
      <c r="J265" s="903"/>
      <c r="K265" s="905"/>
      <c r="L265" s="903"/>
      <c r="M265" s="903"/>
      <c r="N265" s="903"/>
      <c r="O265" s="903"/>
      <c r="P265" s="903"/>
      <c r="Q265" s="720"/>
      <c r="R265" s="720"/>
      <c r="S265" s="720"/>
      <c r="T265" s="720"/>
      <c r="U265" s="720"/>
      <c r="V265" s="720"/>
      <c r="W265" s="720"/>
      <c r="X265" s="720"/>
      <c r="Y265" s="720"/>
      <c r="Z265" s="720"/>
      <c r="AA265" s="720"/>
      <c r="AB265" s="720"/>
    </row>
    <row r="266" spans="1:28" ht="12.75" customHeight="1">
      <c r="A266" s="902"/>
      <c r="B266" s="903"/>
      <c r="C266" s="903"/>
      <c r="D266" s="903"/>
      <c r="E266" s="903"/>
      <c r="F266" s="903"/>
      <c r="G266" s="904"/>
      <c r="H266" s="903"/>
      <c r="I266" s="903"/>
      <c r="J266" s="903"/>
      <c r="K266" s="905"/>
      <c r="L266" s="903"/>
      <c r="M266" s="903"/>
      <c r="N266" s="903"/>
      <c r="O266" s="903"/>
      <c r="P266" s="903"/>
      <c r="Q266" s="720"/>
      <c r="R266" s="720"/>
      <c r="S266" s="720"/>
      <c r="T266" s="720"/>
      <c r="U266" s="720"/>
      <c r="V266" s="720"/>
      <c r="W266" s="720"/>
      <c r="X266" s="720"/>
      <c r="Y266" s="720"/>
      <c r="Z266" s="720"/>
      <c r="AA266" s="720"/>
      <c r="AB266" s="720"/>
    </row>
    <row r="267" spans="1:28" ht="12.75" customHeight="1">
      <c r="A267" s="902"/>
      <c r="B267" s="903"/>
      <c r="C267" s="903"/>
      <c r="D267" s="903"/>
      <c r="E267" s="903"/>
      <c r="F267" s="903"/>
      <c r="G267" s="904"/>
      <c r="H267" s="903"/>
      <c r="I267" s="903"/>
      <c r="J267" s="903"/>
      <c r="K267" s="905"/>
      <c r="L267" s="903"/>
      <c r="M267" s="903"/>
      <c r="N267" s="903"/>
      <c r="O267" s="903"/>
      <c r="P267" s="903"/>
      <c r="Q267" s="720"/>
      <c r="R267" s="720"/>
      <c r="S267" s="720"/>
      <c r="T267" s="720"/>
      <c r="U267" s="720"/>
      <c r="V267" s="720"/>
      <c r="W267" s="720"/>
      <c r="X267" s="720"/>
      <c r="Y267" s="720"/>
      <c r="Z267" s="720"/>
      <c r="AA267" s="720"/>
      <c r="AB267" s="720"/>
    </row>
    <row r="268" spans="1:28" ht="12.75" customHeight="1">
      <c r="A268" s="902"/>
      <c r="B268" s="903"/>
      <c r="C268" s="903"/>
      <c r="D268" s="903"/>
      <c r="E268" s="903"/>
      <c r="F268" s="903"/>
      <c r="G268" s="904"/>
      <c r="H268" s="903"/>
      <c r="I268" s="903"/>
      <c r="J268" s="903"/>
      <c r="K268" s="905"/>
      <c r="L268" s="903"/>
      <c r="M268" s="903"/>
      <c r="N268" s="903"/>
      <c r="O268" s="903"/>
      <c r="P268" s="903"/>
      <c r="Q268" s="720"/>
      <c r="R268" s="720"/>
      <c r="S268" s="720"/>
      <c r="T268" s="720"/>
      <c r="U268" s="720"/>
      <c r="V268" s="720"/>
      <c r="W268" s="720"/>
      <c r="X268" s="720"/>
      <c r="Y268" s="720"/>
      <c r="Z268" s="720"/>
      <c r="AA268" s="720"/>
      <c r="AB268" s="720"/>
    </row>
    <row r="269" spans="1:28" ht="12.75" customHeight="1">
      <c r="A269" s="902"/>
      <c r="B269" s="903"/>
      <c r="C269" s="903"/>
      <c r="D269" s="903"/>
      <c r="E269" s="903"/>
      <c r="F269" s="903"/>
      <c r="G269" s="904"/>
      <c r="H269" s="903"/>
      <c r="I269" s="903"/>
      <c r="J269" s="903"/>
      <c r="K269" s="905"/>
      <c r="L269" s="903"/>
      <c r="M269" s="903"/>
      <c r="N269" s="903"/>
      <c r="O269" s="903"/>
      <c r="P269" s="903"/>
      <c r="Q269" s="720"/>
      <c r="R269" s="720"/>
      <c r="S269" s="720"/>
      <c r="T269" s="720"/>
      <c r="U269" s="720"/>
      <c r="V269" s="720"/>
      <c r="W269" s="720"/>
      <c r="X269" s="720"/>
      <c r="Y269" s="720"/>
      <c r="Z269" s="720"/>
      <c r="AA269" s="720"/>
      <c r="AB269" s="720"/>
    </row>
    <row r="270" spans="1:28" ht="12.75" customHeight="1">
      <c r="A270" s="902"/>
      <c r="B270" s="903"/>
      <c r="C270" s="903"/>
      <c r="D270" s="903"/>
      <c r="E270" s="903"/>
      <c r="F270" s="903"/>
      <c r="G270" s="904"/>
      <c r="H270" s="903"/>
      <c r="I270" s="903"/>
      <c r="J270" s="903"/>
      <c r="K270" s="905"/>
      <c r="L270" s="903"/>
      <c r="M270" s="903"/>
      <c r="N270" s="903"/>
      <c r="O270" s="903"/>
      <c r="P270" s="903"/>
      <c r="Q270" s="720"/>
      <c r="R270" s="720"/>
      <c r="S270" s="720"/>
      <c r="T270" s="720"/>
      <c r="U270" s="720"/>
      <c r="V270" s="720"/>
      <c r="W270" s="720"/>
      <c r="X270" s="720"/>
      <c r="Y270" s="720"/>
      <c r="Z270" s="720"/>
      <c r="AA270" s="720"/>
      <c r="AB270" s="720"/>
    </row>
    <row r="271" spans="1:28" ht="12.75" customHeight="1">
      <c r="A271" s="902"/>
      <c r="B271" s="903"/>
      <c r="C271" s="903"/>
      <c r="D271" s="903"/>
      <c r="E271" s="903"/>
      <c r="F271" s="903"/>
      <c r="G271" s="904"/>
      <c r="H271" s="903"/>
      <c r="I271" s="903"/>
      <c r="J271" s="903"/>
      <c r="K271" s="905"/>
      <c r="L271" s="903"/>
      <c r="M271" s="903"/>
      <c r="N271" s="903"/>
      <c r="O271" s="903"/>
      <c r="P271" s="903"/>
      <c r="Q271" s="720"/>
      <c r="R271" s="720"/>
      <c r="S271" s="720"/>
      <c r="T271" s="720"/>
      <c r="U271" s="720"/>
      <c r="V271" s="720"/>
      <c r="W271" s="720"/>
      <c r="X271" s="720"/>
      <c r="Y271" s="720"/>
      <c r="Z271" s="720"/>
      <c r="AA271" s="720"/>
      <c r="AB271" s="720"/>
    </row>
    <row r="272" spans="1:28" ht="12.75" customHeight="1">
      <c r="A272" s="902"/>
      <c r="B272" s="903"/>
      <c r="C272" s="903"/>
      <c r="D272" s="903"/>
      <c r="E272" s="903"/>
      <c r="F272" s="903"/>
      <c r="G272" s="904"/>
      <c r="H272" s="903"/>
      <c r="I272" s="903"/>
      <c r="J272" s="903"/>
      <c r="K272" s="905"/>
      <c r="L272" s="903"/>
      <c r="M272" s="903"/>
      <c r="N272" s="903"/>
      <c r="O272" s="903"/>
      <c r="P272" s="903"/>
      <c r="Q272" s="720"/>
      <c r="R272" s="720"/>
      <c r="S272" s="720"/>
      <c r="T272" s="720"/>
      <c r="U272" s="720"/>
      <c r="V272" s="720"/>
      <c r="W272" s="720"/>
      <c r="X272" s="720"/>
      <c r="Y272" s="720"/>
      <c r="Z272" s="720"/>
      <c r="AA272" s="720"/>
      <c r="AB272" s="720"/>
    </row>
    <row r="273" spans="1:28" ht="12.75" customHeight="1">
      <c r="A273" s="902"/>
      <c r="B273" s="903"/>
      <c r="C273" s="903"/>
      <c r="D273" s="903"/>
      <c r="E273" s="903"/>
      <c r="F273" s="903"/>
      <c r="G273" s="904"/>
      <c r="H273" s="903"/>
      <c r="I273" s="903"/>
      <c r="J273" s="903"/>
      <c r="K273" s="905"/>
      <c r="L273" s="903"/>
      <c r="M273" s="903"/>
      <c r="N273" s="903"/>
      <c r="O273" s="903"/>
      <c r="P273" s="903"/>
      <c r="Q273" s="720"/>
      <c r="R273" s="720"/>
      <c r="S273" s="720"/>
      <c r="T273" s="720"/>
      <c r="U273" s="720"/>
      <c r="V273" s="720"/>
      <c r="W273" s="720"/>
      <c r="X273" s="720"/>
      <c r="Y273" s="720"/>
      <c r="Z273" s="720"/>
      <c r="AA273" s="720"/>
      <c r="AB273" s="720"/>
    </row>
    <row r="274" spans="1:28" ht="12.75" customHeight="1">
      <c r="A274" s="902"/>
      <c r="B274" s="903"/>
      <c r="C274" s="903"/>
      <c r="D274" s="903"/>
      <c r="E274" s="903"/>
      <c r="F274" s="903"/>
      <c r="G274" s="904"/>
      <c r="H274" s="903"/>
      <c r="I274" s="903"/>
      <c r="J274" s="903"/>
      <c r="K274" s="905"/>
      <c r="L274" s="903"/>
      <c r="M274" s="903"/>
      <c r="N274" s="903"/>
      <c r="O274" s="903"/>
      <c r="P274" s="903"/>
      <c r="Q274" s="720"/>
      <c r="R274" s="720"/>
      <c r="S274" s="720"/>
      <c r="T274" s="720"/>
      <c r="U274" s="720"/>
      <c r="V274" s="720"/>
      <c r="W274" s="720"/>
      <c r="X274" s="720"/>
      <c r="Y274" s="720"/>
      <c r="Z274" s="720"/>
      <c r="AA274" s="720"/>
      <c r="AB274" s="720"/>
    </row>
    <row r="275" spans="1:28" ht="12.75" customHeight="1">
      <c r="A275" s="902"/>
      <c r="B275" s="903"/>
      <c r="C275" s="903"/>
      <c r="D275" s="903"/>
      <c r="E275" s="903"/>
      <c r="F275" s="903"/>
      <c r="G275" s="904"/>
      <c r="H275" s="903"/>
      <c r="I275" s="903"/>
      <c r="J275" s="903"/>
      <c r="K275" s="905"/>
      <c r="L275" s="903"/>
      <c r="M275" s="903"/>
      <c r="N275" s="903"/>
      <c r="O275" s="903"/>
      <c r="P275" s="903"/>
      <c r="Q275" s="720"/>
      <c r="R275" s="720"/>
      <c r="S275" s="720"/>
      <c r="T275" s="720"/>
      <c r="U275" s="720"/>
      <c r="V275" s="720"/>
      <c r="W275" s="720"/>
      <c r="X275" s="720"/>
      <c r="Y275" s="720"/>
      <c r="Z275" s="720"/>
      <c r="AA275" s="720"/>
      <c r="AB275" s="720"/>
    </row>
    <row r="276" spans="1:28" ht="12.75" customHeight="1">
      <c r="A276" s="902"/>
      <c r="B276" s="903"/>
      <c r="C276" s="903"/>
      <c r="D276" s="903"/>
      <c r="E276" s="903"/>
      <c r="F276" s="903"/>
      <c r="G276" s="904"/>
      <c r="H276" s="903"/>
      <c r="I276" s="903"/>
      <c r="J276" s="903"/>
      <c r="K276" s="905"/>
      <c r="L276" s="903"/>
      <c r="M276" s="903"/>
      <c r="N276" s="903"/>
      <c r="O276" s="903"/>
      <c r="P276" s="903"/>
      <c r="Q276" s="720"/>
      <c r="R276" s="720"/>
      <c r="S276" s="720"/>
      <c r="T276" s="720"/>
      <c r="U276" s="720"/>
      <c r="V276" s="720"/>
      <c r="W276" s="720"/>
      <c r="X276" s="720"/>
      <c r="Y276" s="720"/>
      <c r="Z276" s="720"/>
      <c r="AA276" s="720"/>
      <c r="AB276" s="720"/>
    </row>
    <row r="277" spans="1:28" ht="12.75" customHeight="1">
      <c r="A277" s="902"/>
      <c r="B277" s="903"/>
      <c r="C277" s="903"/>
      <c r="D277" s="903"/>
      <c r="E277" s="903"/>
      <c r="F277" s="903"/>
      <c r="G277" s="904"/>
      <c r="H277" s="903"/>
      <c r="I277" s="903"/>
      <c r="J277" s="903"/>
      <c r="K277" s="905"/>
      <c r="L277" s="903"/>
      <c r="M277" s="903"/>
      <c r="N277" s="903"/>
      <c r="O277" s="903"/>
      <c r="P277" s="903"/>
      <c r="Q277" s="720"/>
      <c r="R277" s="720"/>
      <c r="S277" s="720"/>
      <c r="T277" s="720"/>
      <c r="U277" s="720"/>
      <c r="V277" s="720"/>
      <c r="W277" s="720"/>
      <c r="X277" s="720"/>
      <c r="Y277" s="720"/>
      <c r="Z277" s="720"/>
      <c r="AA277" s="720"/>
      <c r="AB277" s="720"/>
    </row>
    <row r="278" spans="1:28" ht="12.75" customHeight="1">
      <c r="A278" s="902"/>
      <c r="B278" s="903"/>
      <c r="C278" s="903"/>
      <c r="D278" s="903"/>
      <c r="E278" s="903"/>
      <c r="F278" s="903"/>
      <c r="G278" s="904"/>
      <c r="H278" s="903"/>
      <c r="I278" s="903"/>
      <c r="J278" s="903"/>
      <c r="K278" s="905"/>
      <c r="L278" s="903"/>
      <c r="M278" s="903"/>
      <c r="N278" s="903"/>
      <c r="O278" s="903"/>
      <c r="P278" s="903"/>
      <c r="Q278" s="720"/>
      <c r="R278" s="720"/>
      <c r="S278" s="720"/>
      <c r="T278" s="720"/>
      <c r="U278" s="720"/>
      <c r="V278" s="720"/>
      <c r="W278" s="720"/>
      <c r="X278" s="720"/>
      <c r="Y278" s="720"/>
      <c r="Z278" s="720"/>
      <c r="AA278" s="720"/>
      <c r="AB278" s="720"/>
    </row>
    <row r="279" spans="1:28" ht="12.75" customHeight="1">
      <c r="A279" s="902"/>
      <c r="B279" s="903"/>
      <c r="C279" s="903"/>
      <c r="D279" s="903"/>
      <c r="E279" s="903"/>
      <c r="F279" s="903"/>
      <c r="G279" s="904"/>
      <c r="H279" s="903"/>
      <c r="I279" s="903"/>
      <c r="J279" s="903"/>
      <c r="K279" s="905"/>
      <c r="L279" s="903"/>
      <c r="M279" s="903"/>
      <c r="N279" s="903"/>
      <c r="O279" s="903"/>
      <c r="P279" s="903"/>
      <c r="Q279" s="720"/>
      <c r="R279" s="720"/>
      <c r="S279" s="720"/>
      <c r="T279" s="720"/>
      <c r="U279" s="720"/>
      <c r="V279" s="720"/>
      <c r="W279" s="720"/>
      <c r="X279" s="720"/>
      <c r="Y279" s="720"/>
      <c r="Z279" s="720"/>
      <c r="AA279" s="720"/>
      <c r="AB279" s="720"/>
    </row>
    <row r="280" spans="1:28" ht="12.75" customHeight="1">
      <c r="A280" s="902"/>
      <c r="B280" s="903"/>
      <c r="C280" s="903"/>
      <c r="D280" s="903"/>
      <c r="E280" s="903"/>
      <c r="F280" s="903"/>
      <c r="G280" s="904"/>
      <c r="H280" s="903"/>
      <c r="I280" s="903"/>
      <c r="J280" s="903"/>
      <c r="K280" s="905"/>
      <c r="L280" s="903"/>
      <c r="M280" s="903"/>
      <c r="N280" s="903"/>
      <c r="O280" s="903"/>
      <c r="P280" s="903"/>
      <c r="Q280" s="720"/>
      <c r="R280" s="720"/>
      <c r="S280" s="720"/>
      <c r="T280" s="720"/>
      <c r="U280" s="720"/>
      <c r="V280" s="720"/>
      <c r="W280" s="720"/>
      <c r="X280" s="720"/>
      <c r="Y280" s="720"/>
      <c r="Z280" s="720"/>
      <c r="AA280" s="720"/>
      <c r="AB280" s="720"/>
    </row>
    <row r="281" spans="1:28" ht="12.75" customHeight="1">
      <c r="A281" s="902"/>
      <c r="B281" s="903"/>
      <c r="C281" s="903"/>
      <c r="D281" s="903"/>
      <c r="E281" s="903"/>
      <c r="F281" s="903"/>
      <c r="G281" s="904"/>
      <c r="H281" s="903"/>
      <c r="I281" s="903"/>
      <c r="J281" s="903"/>
      <c r="K281" s="905"/>
      <c r="L281" s="903"/>
      <c r="M281" s="903"/>
      <c r="N281" s="903"/>
      <c r="O281" s="903"/>
      <c r="P281" s="903"/>
      <c r="Q281" s="720"/>
      <c r="R281" s="720"/>
      <c r="S281" s="720"/>
      <c r="T281" s="720"/>
      <c r="U281" s="720"/>
      <c r="V281" s="720"/>
      <c r="W281" s="720"/>
      <c r="X281" s="720"/>
      <c r="Y281" s="720"/>
      <c r="Z281" s="720"/>
      <c r="AA281" s="720"/>
      <c r="AB281" s="720"/>
    </row>
    <row r="282" spans="1:28" ht="12.75" customHeight="1">
      <c r="A282" s="902"/>
      <c r="B282" s="903"/>
      <c r="C282" s="903"/>
      <c r="D282" s="903"/>
      <c r="E282" s="903"/>
      <c r="F282" s="903"/>
      <c r="G282" s="904"/>
      <c r="H282" s="903"/>
      <c r="I282" s="903"/>
      <c r="J282" s="903"/>
      <c r="K282" s="905"/>
      <c r="L282" s="903"/>
      <c r="M282" s="903"/>
      <c r="N282" s="903"/>
      <c r="O282" s="903"/>
      <c r="P282" s="903"/>
      <c r="Q282" s="720"/>
      <c r="R282" s="720"/>
      <c r="S282" s="720"/>
      <c r="T282" s="720"/>
      <c r="U282" s="720"/>
      <c r="V282" s="720"/>
      <c r="W282" s="720"/>
      <c r="X282" s="720"/>
      <c r="Y282" s="720"/>
      <c r="Z282" s="720"/>
      <c r="AA282" s="720"/>
      <c r="AB282" s="720"/>
    </row>
    <row r="283" spans="1:28" ht="12.75" customHeight="1">
      <c r="A283" s="902"/>
      <c r="B283" s="903"/>
      <c r="C283" s="903"/>
      <c r="D283" s="903"/>
      <c r="E283" s="903"/>
      <c r="F283" s="903"/>
      <c r="G283" s="904"/>
      <c r="H283" s="903"/>
      <c r="I283" s="903"/>
      <c r="J283" s="903"/>
      <c r="K283" s="905"/>
      <c r="L283" s="903"/>
      <c r="M283" s="903"/>
      <c r="N283" s="903"/>
      <c r="O283" s="903"/>
      <c r="P283" s="903"/>
      <c r="Q283" s="720"/>
      <c r="R283" s="720"/>
      <c r="S283" s="720"/>
      <c r="T283" s="720"/>
      <c r="U283" s="720"/>
      <c r="V283" s="720"/>
      <c r="W283" s="720"/>
      <c r="X283" s="720"/>
      <c r="Y283" s="720"/>
      <c r="Z283" s="720"/>
      <c r="AA283" s="720"/>
      <c r="AB283" s="720"/>
    </row>
    <row r="284" spans="1:28" ht="12.75" customHeight="1">
      <c r="A284" s="902"/>
      <c r="B284" s="903"/>
      <c r="C284" s="903"/>
      <c r="D284" s="903"/>
      <c r="E284" s="903"/>
      <c r="F284" s="903"/>
      <c r="G284" s="904"/>
      <c r="H284" s="903"/>
      <c r="I284" s="903"/>
      <c r="J284" s="903"/>
      <c r="K284" s="905"/>
      <c r="L284" s="903"/>
      <c r="M284" s="903"/>
      <c r="N284" s="903"/>
      <c r="O284" s="903"/>
      <c r="P284" s="903"/>
      <c r="Q284" s="720"/>
      <c r="R284" s="720"/>
      <c r="S284" s="720"/>
      <c r="T284" s="720"/>
      <c r="U284" s="720"/>
      <c r="V284" s="720"/>
      <c r="W284" s="720"/>
      <c r="X284" s="720"/>
      <c r="Y284" s="720"/>
      <c r="Z284" s="720"/>
      <c r="AA284" s="720"/>
      <c r="AB284" s="720"/>
    </row>
    <row r="285" spans="1:28" ht="12.75" customHeight="1">
      <c r="A285" s="902"/>
      <c r="B285" s="903"/>
      <c r="C285" s="903"/>
      <c r="D285" s="903"/>
      <c r="E285" s="903"/>
      <c r="F285" s="903"/>
      <c r="G285" s="904"/>
      <c r="H285" s="903"/>
      <c r="I285" s="903"/>
      <c r="J285" s="903"/>
      <c r="K285" s="905"/>
      <c r="L285" s="903"/>
      <c r="M285" s="903"/>
      <c r="N285" s="903"/>
      <c r="O285" s="903"/>
      <c r="P285" s="903"/>
      <c r="Q285" s="720"/>
      <c r="R285" s="720"/>
      <c r="S285" s="720"/>
      <c r="T285" s="720"/>
      <c r="U285" s="720"/>
      <c r="V285" s="720"/>
      <c r="W285" s="720"/>
      <c r="X285" s="720"/>
      <c r="Y285" s="720"/>
      <c r="Z285" s="720"/>
      <c r="AA285" s="720"/>
      <c r="AB285" s="720"/>
    </row>
    <row r="286" spans="1:28" ht="12.75" customHeight="1">
      <c r="A286" s="902"/>
      <c r="B286" s="903"/>
      <c r="C286" s="903"/>
      <c r="D286" s="903"/>
      <c r="E286" s="903"/>
      <c r="F286" s="903"/>
      <c r="G286" s="904"/>
      <c r="H286" s="903"/>
      <c r="I286" s="903"/>
      <c r="J286" s="903"/>
      <c r="K286" s="905"/>
      <c r="L286" s="903"/>
      <c r="M286" s="903"/>
      <c r="N286" s="903"/>
      <c r="O286" s="903"/>
      <c r="P286" s="903"/>
      <c r="Q286" s="720"/>
      <c r="R286" s="720"/>
      <c r="S286" s="720"/>
      <c r="T286" s="720"/>
      <c r="U286" s="720"/>
      <c r="V286" s="720"/>
      <c r="W286" s="720"/>
      <c r="X286" s="720"/>
      <c r="Y286" s="720"/>
      <c r="Z286" s="720"/>
      <c r="AA286" s="720"/>
      <c r="AB286" s="720"/>
    </row>
    <row r="287" spans="1:28" ht="12.75" customHeight="1">
      <c r="A287" s="902"/>
      <c r="B287" s="903"/>
      <c r="C287" s="903"/>
      <c r="D287" s="903"/>
      <c r="E287" s="903"/>
      <c r="F287" s="903"/>
      <c r="G287" s="904"/>
      <c r="H287" s="903"/>
      <c r="I287" s="903"/>
      <c r="J287" s="903"/>
      <c r="K287" s="905"/>
      <c r="L287" s="903"/>
      <c r="M287" s="903"/>
      <c r="N287" s="903"/>
      <c r="O287" s="903"/>
      <c r="P287" s="903"/>
      <c r="Q287" s="720"/>
      <c r="R287" s="720"/>
      <c r="S287" s="720"/>
      <c r="T287" s="720"/>
      <c r="U287" s="720"/>
      <c r="V287" s="720"/>
      <c r="W287" s="720"/>
      <c r="X287" s="720"/>
      <c r="Y287" s="720"/>
      <c r="Z287" s="720"/>
      <c r="AA287" s="720"/>
      <c r="AB287" s="720"/>
    </row>
    <row r="288" spans="1:28" ht="12.75" customHeight="1">
      <c r="A288" s="902"/>
      <c r="B288" s="903"/>
      <c r="C288" s="903"/>
      <c r="D288" s="903"/>
      <c r="E288" s="903"/>
      <c r="F288" s="903"/>
      <c r="G288" s="904"/>
      <c r="H288" s="903"/>
      <c r="I288" s="903"/>
      <c r="J288" s="903"/>
      <c r="K288" s="905"/>
      <c r="L288" s="903"/>
      <c r="M288" s="903"/>
      <c r="N288" s="903"/>
      <c r="O288" s="903"/>
      <c r="P288" s="903"/>
      <c r="Q288" s="720"/>
      <c r="R288" s="720"/>
      <c r="S288" s="720"/>
      <c r="T288" s="720"/>
      <c r="U288" s="720"/>
      <c r="V288" s="720"/>
      <c r="W288" s="720"/>
      <c r="X288" s="720"/>
      <c r="Y288" s="720"/>
      <c r="Z288" s="720"/>
      <c r="AA288" s="720"/>
      <c r="AB288" s="720"/>
    </row>
    <row r="289" spans="1:28" ht="12.75" customHeight="1">
      <c r="A289" s="902"/>
      <c r="B289" s="903"/>
      <c r="C289" s="903"/>
      <c r="D289" s="903"/>
      <c r="E289" s="903"/>
      <c r="F289" s="903"/>
      <c r="G289" s="904"/>
      <c r="H289" s="903"/>
      <c r="I289" s="903"/>
      <c r="J289" s="903"/>
      <c r="K289" s="905"/>
      <c r="L289" s="903"/>
      <c r="M289" s="903"/>
      <c r="N289" s="903"/>
      <c r="O289" s="903"/>
      <c r="P289" s="903"/>
      <c r="Q289" s="720"/>
      <c r="R289" s="720"/>
      <c r="S289" s="720"/>
      <c r="T289" s="720"/>
      <c r="U289" s="720"/>
      <c r="V289" s="720"/>
      <c r="W289" s="720"/>
      <c r="X289" s="720"/>
      <c r="Y289" s="720"/>
      <c r="Z289" s="720"/>
      <c r="AA289" s="720"/>
      <c r="AB289" s="720"/>
    </row>
    <row r="290" spans="1:28" ht="12.75" customHeight="1">
      <c r="A290" s="902"/>
      <c r="B290" s="903"/>
      <c r="C290" s="903"/>
      <c r="D290" s="903"/>
      <c r="E290" s="903"/>
      <c r="F290" s="903"/>
      <c r="G290" s="904"/>
      <c r="H290" s="903"/>
      <c r="I290" s="903"/>
      <c r="J290" s="903"/>
      <c r="K290" s="905"/>
      <c r="L290" s="903"/>
      <c r="M290" s="903"/>
      <c r="N290" s="903"/>
      <c r="O290" s="903"/>
      <c r="P290" s="903"/>
      <c r="Q290" s="720"/>
      <c r="R290" s="720"/>
      <c r="S290" s="720"/>
      <c r="T290" s="720"/>
      <c r="U290" s="720"/>
      <c r="V290" s="720"/>
      <c r="W290" s="720"/>
      <c r="X290" s="720"/>
      <c r="Y290" s="720"/>
      <c r="Z290" s="720"/>
      <c r="AA290" s="720"/>
      <c r="AB290" s="720"/>
    </row>
    <row r="291" spans="1:28" ht="12.75" customHeight="1">
      <c r="A291" s="902"/>
      <c r="B291" s="903"/>
      <c r="C291" s="903"/>
      <c r="D291" s="903"/>
      <c r="E291" s="903"/>
      <c r="F291" s="903"/>
      <c r="G291" s="904"/>
      <c r="H291" s="903"/>
      <c r="I291" s="903"/>
      <c r="J291" s="903"/>
      <c r="K291" s="905"/>
      <c r="L291" s="903"/>
      <c r="M291" s="903"/>
      <c r="N291" s="903"/>
      <c r="O291" s="903"/>
      <c r="P291" s="903"/>
      <c r="Q291" s="720"/>
      <c r="R291" s="720"/>
      <c r="S291" s="720"/>
      <c r="T291" s="720"/>
      <c r="U291" s="720"/>
      <c r="V291" s="720"/>
      <c r="W291" s="720"/>
      <c r="X291" s="720"/>
      <c r="Y291" s="720"/>
      <c r="Z291" s="720"/>
      <c r="AA291" s="720"/>
      <c r="AB291" s="720"/>
    </row>
    <row r="292" spans="1:28" ht="12.75" customHeight="1">
      <c r="A292" s="902"/>
      <c r="B292" s="903"/>
      <c r="C292" s="903"/>
      <c r="D292" s="903"/>
      <c r="E292" s="903"/>
      <c r="F292" s="903"/>
      <c r="G292" s="904"/>
      <c r="H292" s="903"/>
      <c r="I292" s="903"/>
      <c r="J292" s="903"/>
      <c r="K292" s="905"/>
      <c r="L292" s="903"/>
      <c r="M292" s="903"/>
      <c r="N292" s="903"/>
      <c r="O292" s="903"/>
      <c r="P292" s="903"/>
      <c r="Q292" s="720"/>
      <c r="R292" s="720"/>
      <c r="S292" s="720"/>
      <c r="T292" s="720"/>
      <c r="U292" s="720"/>
      <c r="V292" s="720"/>
      <c r="W292" s="720"/>
      <c r="X292" s="720"/>
      <c r="Y292" s="720"/>
      <c r="Z292" s="720"/>
      <c r="AA292" s="720"/>
      <c r="AB292" s="720"/>
    </row>
    <row r="293" spans="1:28" ht="12.75" customHeight="1">
      <c r="A293" s="902"/>
      <c r="B293" s="903"/>
      <c r="C293" s="903"/>
      <c r="D293" s="903"/>
      <c r="E293" s="903"/>
      <c r="F293" s="903"/>
      <c r="G293" s="904"/>
      <c r="H293" s="903"/>
      <c r="I293" s="903"/>
      <c r="J293" s="903"/>
      <c r="K293" s="905"/>
      <c r="L293" s="903"/>
      <c r="M293" s="903"/>
      <c r="N293" s="903"/>
      <c r="O293" s="903"/>
      <c r="P293" s="903"/>
      <c r="Q293" s="720"/>
      <c r="R293" s="720"/>
      <c r="S293" s="720"/>
      <c r="T293" s="720"/>
      <c r="U293" s="720"/>
      <c r="V293" s="720"/>
      <c r="W293" s="720"/>
      <c r="X293" s="720"/>
      <c r="Y293" s="720"/>
      <c r="Z293" s="720"/>
      <c r="AA293" s="720"/>
      <c r="AB293" s="720"/>
    </row>
    <row r="294" spans="1:28" ht="12.75" customHeight="1">
      <c r="A294" s="902"/>
      <c r="B294" s="903"/>
      <c r="C294" s="903"/>
      <c r="D294" s="903"/>
      <c r="E294" s="903"/>
      <c r="F294" s="903"/>
      <c r="G294" s="904"/>
      <c r="H294" s="903"/>
      <c r="I294" s="903"/>
      <c r="J294" s="903"/>
      <c r="K294" s="905"/>
      <c r="L294" s="903"/>
      <c r="M294" s="903"/>
      <c r="N294" s="903"/>
      <c r="O294" s="903"/>
      <c r="P294" s="903"/>
      <c r="Q294" s="720"/>
      <c r="R294" s="720"/>
      <c r="S294" s="720"/>
      <c r="T294" s="720"/>
      <c r="U294" s="720"/>
      <c r="V294" s="720"/>
      <c r="W294" s="720"/>
      <c r="X294" s="720"/>
      <c r="Y294" s="720"/>
      <c r="Z294" s="720"/>
      <c r="AA294" s="720"/>
      <c r="AB294" s="720"/>
    </row>
    <row r="295" spans="1:28" ht="12.75" customHeight="1">
      <c r="A295" s="902"/>
      <c r="B295" s="903"/>
      <c r="C295" s="903"/>
      <c r="D295" s="903"/>
      <c r="E295" s="903"/>
      <c r="F295" s="903"/>
      <c r="G295" s="904"/>
      <c r="H295" s="903"/>
      <c r="I295" s="903"/>
      <c r="J295" s="903"/>
      <c r="K295" s="905"/>
      <c r="L295" s="903"/>
      <c r="M295" s="903"/>
      <c r="N295" s="903"/>
      <c r="O295" s="903"/>
      <c r="P295" s="903"/>
      <c r="Q295" s="720"/>
      <c r="R295" s="720"/>
      <c r="S295" s="720"/>
      <c r="T295" s="720"/>
      <c r="U295" s="720"/>
      <c r="V295" s="720"/>
      <c r="W295" s="720"/>
      <c r="X295" s="720"/>
      <c r="Y295" s="720"/>
      <c r="Z295" s="720"/>
      <c r="AA295" s="720"/>
      <c r="AB295" s="720"/>
    </row>
    <row r="296" spans="1:28" ht="12.75" customHeight="1">
      <c r="A296" s="902"/>
      <c r="B296" s="903"/>
      <c r="C296" s="903"/>
      <c r="D296" s="903"/>
      <c r="E296" s="903"/>
      <c r="F296" s="903"/>
      <c r="G296" s="904"/>
      <c r="H296" s="903"/>
      <c r="I296" s="903"/>
      <c r="J296" s="903"/>
      <c r="K296" s="905"/>
      <c r="L296" s="903"/>
      <c r="M296" s="903"/>
      <c r="N296" s="903"/>
      <c r="O296" s="903"/>
      <c r="P296" s="903"/>
      <c r="Q296" s="720"/>
      <c r="R296" s="720"/>
      <c r="S296" s="720"/>
      <c r="T296" s="720"/>
      <c r="U296" s="720"/>
      <c r="V296" s="720"/>
      <c r="W296" s="720"/>
      <c r="X296" s="720"/>
      <c r="Y296" s="720"/>
      <c r="Z296" s="720"/>
      <c r="AA296" s="720"/>
      <c r="AB296" s="720"/>
    </row>
    <row r="297" spans="1:28" ht="12.75" customHeight="1">
      <c r="A297" s="902"/>
      <c r="B297" s="903"/>
      <c r="C297" s="903"/>
      <c r="D297" s="903"/>
      <c r="E297" s="903"/>
      <c r="F297" s="903"/>
      <c r="G297" s="904"/>
      <c r="H297" s="903"/>
      <c r="I297" s="903"/>
      <c r="J297" s="903"/>
      <c r="K297" s="905"/>
      <c r="L297" s="903"/>
      <c r="M297" s="903"/>
      <c r="N297" s="903"/>
      <c r="O297" s="903"/>
      <c r="P297" s="903"/>
      <c r="Q297" s="720"/>
      <c r="R297" s="720"/>
      <c r="S297" s="720"/>
      <c r="T297" s="720"/>
      <c r="U297" s="720"/>
      <c r="V297" s="720"/>
      <c r="W297" s="720"/>
      <c r="X297" s="720"/>
      <c r="Y297" s="720"/>
      <c r="Z297" s="720"/>
      <c r="AA297" s="720"/>
      <c r="AB297" s="720"/>
    </row>
    <row r="298" spans="1:28" ht="12.75" customHeight="1">
      <c r="A298" s="902"/>
      <c r="B298" s="903"/>
      <c r="C298" s="903"/>
      <c r="D298" s="903"/>
      <c r="E298" s="903"/>
      <c r="F298" s="903"/>
      <c r="G298" s="904"/>
      <c r="H298" s="903"/>
      <c r="I298" s="903"/>
      <c r="J298" s="903"/>
      <c r="K298" s="905"/>
      <c r="L298" s="903"/>
      <c r="M298" s="903"/>
      <c r="N298" s="903"/>
      <c r="O298" s="903"/>
      <c r="P298" s="903"/>
      <c r="Q298" s="720"/>
      <c r="R298" s="720"/>
      <c r="S298" s="720"/>
      <c r="T298" s="720"/>
      <c r="U298" s="720"/>
      <c r="V298" s="720"/>
      <c r="W298" s="720"/>
      <c r="X298" s="720"/>
      <c r="Y298" s="720"/>
      <c r="Z298" s="720"/>
      <c r="AA298" s="720"/>
      <c r="AB298" s="720"/>
    </row>
    <row r="299" spans="1:28" ht="12.75" customHeight="1">
      <c r="A299" s="902"/>
      <c r="B299" s="903"/>
      <c r="C299" s="903"/>
      <c r="D299" s="903"/>
      <c r="E299" s="903"/>
      <c r="F299" s="903"/>
      <c r="G299" s="904"/>
      <c r="H299" s="903"/>
      <c r="I299" s="903"/>
      <c r="J299" s="903"/>
      <c r="K299" s="905"/>
      <c r="L299" s="903"/>
      <c r="M299" s="903"/>
      <c r="N299" s="903"/>
      <c r="O299" s="903"/>
      <c r="P299" s="903"/>
      <c r="Q299" s="720"/>
      <c r="R299" s="720"/>
      <c r="S299" s="720"/>
      <c r="T299" s="720"/>
      <c r="U299" s="720"/>
      <c r="V299" s="720"/>
      <c r="W299" s="720"/>
      <c r="X299" s="720"/>
      <c r="Y299" s="720"/>
      <c r="Z299" s="720"/>
      <c r="AA299" s="720"/>
      <c r="AB299" s="720"/>
    </row>
    <row r="300" spans="1:28" ht="12.75" customHeight="1">
      <c r="A300" s="902"/>
      <c r="B300" s="903"/>
      <c r="C300" s="903"/>
      <c r="D300" s="903"/>
      <c r="E300" s="903"/>
      <c r="F300" s="903"/>
      <c r="G300" s="904"/>
      <c r="H300" s="903"/>
      <c r="I300" s="903"/>
      <c r="J300" s="903"/>
      <c r="K300" s="905"/>
      <c r="L300" s="903"/>
      <c r="M300" s="903"/>
      <c r="N300" s="903"/>
      <c r="O300" s="903"/>
      <c r="P300" s="903"/>
      <c r="Q300" s="720"/>
      <c r="R300" s="720"/>
      <c r="S300" s="720"/>
      <c r="T300" s="720"/>
      <c r="U300" s="720"/>
      <c r="V300" s="720"/>
      <c r="W300" s="720"/>
      <c r="X300" s="720"/>
      <c r="Y300" s="720"/>
      <c r="Z300" s="720"/>
      <c r="AA300" s="720"/>
      <c r="AB300" s="720"/>
    </row>
    <row r="301" spans="1:28" ht="12.75" customHeight="1">
      <c r="A301" s="902"/>
      <c r="B301" s="903"/>
      <c r="C301" s="903"/>
      <c r="D301" s="903"/>
      <c r="E301" s="903"/>
      <c r="F301" s="903"/>
      <c r="G301" s="904"/>
      <c r="H301" s="903"/>
      <c r="I301" s="903"/>
      <c r="J301" s="903"/>
      <c r="K301" s="905"/>
      <c r="L301" s="903"/>
      <c r="M301" s="903"/>
      <c r="N301" s="903"/>
      <c r="O301" s="903"/>
      <c r="P301" s="903"/>
      <c r="Q301" s="720"/>
      <c r="R301" s="720"/>
      <c r="S301" s="720"/>
      <c r="T301" s="720"/>
      <c r="U301" s="720"/>
      <c r="V301" s="720"/>
      <c r="W301" s="720"/>
      <c r="X301" s="720"/>
      <c r="Y301" s="720"/>
      <c r="Z301" s="720"/>
      <c r="AA301" s="720"/>
      <c r="AB301" s="720"/>
    </row>
    <row r="302" spans="1:28" ht="12.75" customHeight="1">
      <c r="A302" s="902"/>
      <c r="B302" s="903"/>
      <c r="C302" s="903"/>
      <c r="D302" s="903"/>
      <c r="E302" s="903"/>
      <c r="F302" s="903"/>
      <c r="G302" s="904"/>
      <c r="H302" s="903"/>
      <c r="I302" s="903"/>
      <c r="J302" s="903"/>
      <c r="K302" s="905"/>
      <c r="L302" s="903"/>
      <c r="M302" s="903"/>
      <c r="N302" s="903"/>
      <c r="O302" s="903"/>
      <c r="P302" s="903"/>
      <c r="Q302" s="720"/>
      <c r="R302" s="720"/>
      <c r="S302" s="720"/>
      <c r="T302" s="720"/>
      <c r="U302" s="720"/>
      <c r="V302" s="720"/>
      <c r="W302" s="720"/>
      <c r="X302" s="720"/>
      <c r="Y302" s="720"/>
      <c r="Z302" s="720"/>
      <c r="AA302" s="720"/>
      <c r="AB302" s="720"/>
    </row>
    <row r="303" spans="1:28" ht="12.75" customHeight="1">
      <c r="A303" s="902"/>
      <c r="B303" s="903"/>
      <c r="C303" s="903"/>
      <c r="D303" s="903"/>
      <c r="E303" s="903"/>
      <c r="F303" s="903"/>
      <c r="G303" s="904"/>
      <c r="H303" s="903"/>
      <c r="I303" s="903"/>
      <c r="J303" s="903"/>
      <c r="K303" s="905"/>
      <c r="L303" s="903"/>
      <c r="M303" s="903"/>
      <c r="N303" s="903"/>
      <c r="O303" s="903"/>
      <c r="P303" s="903"/>
      <c r="Q303" s="720"/>
      <c r="R303" s="720"/>
      <c r="S303" s="720"/>
      <c r="T303" s="720"/>
      <c r="U303" s="720"/>
      <c r="V303" s="720"/>
      <c r="W303" s="720"/>
      <c r="X303" s="720"/>
      <c r="Y303" s="720"/>
      <c r="Z303" s="720"/>
      <c r="AA303" s="720"/>
      <c r="AB303" s="720"/>
    </row>
    <row r="304" spans="1:28" ht="12.75" customHeight="1">
      <c r="A304" s="902"/>
      <c r="B304" s="903"/>
      <c r="C304" s="903"/>
      <c r="D304" s="903"/>
      <c r="E304" s="903"/>
      <c r="F304" s="903"/>
      <c r="G304" s="904"/>
      <c r="H304" s="903"/>
      <c r="I304" s="903"/>
      <c r="J304" s="903"/>
      <c r="K304" s="905"/>
      <c r="L304" s="903"/>
      <c r="M304" s="903"/>
      <c r="N304" s="903"/>
      <c r="O304" s="903"/>
      <c r="P304" s="903"/>
      <c r="Q304" s="720"/>
      <c r="R304" s="720"/>
      <c r="S304" s="720"/>
      <c r="T304" s="720"/>
      <c r="U304" s="720"/>
      <c r="V304" s="720"/>
      <c r="W304" s="720"/>
      <c r="X304" s="720"/>
      <c r="Y304" s="720"/>
      <c r="Z304" s="720"/>
      <c r="AA304" s="720"/>
      <c r="AB304" s="720"/>
    </row>
    <row r="305" spans="1:28" ht="12.75" customHeight="1">
      <c r="A305" s="902"/>
      <c r="B305" s="903"/>
      <c r="C305" s="903"/>
      <c r="D305" s="903"/>
      <c r="E305" s="903"/>
      <c r="F305" s="903"/>
      <c r="G305" s="904"/>
      <c r="H305" s="903"/>
      <c r="I305" s="903"/>
      <c r="J305" s="903"/>
      <c r="K305" s="905"/>
      <c r="L305" s="903"/>
      <c r="M305" s="903"/>
      <c r="N305" s="903"/>
      <c r="O305" s="903"/>
      <c r="P305" s="903"/>
      <c r="Q305" s="720"/>
      <c r="R305" s="720"/>
      <c r="S305" s="720"/>
      <c r="T305" s="720"/>
      <c r="U305" s="720"/>
      <c r="V305" s="720"/>
      <c r="W305" s="720"/>
      <c r="X305" s="720"/>
      <c r="Y305" s="720"/>
      <c r="Z305" s="720"/>
      <c r="AA305" s="720"/>
      <c r="AB305" s="720"/>
    </row>
    <row r="306" spans="1:28" ht="12.75" customHeight="1">
      <c r="A306" s="902"/>
      <c r="B306" s="903"/>
      <c r="C306" s="903"/>
      <c r="D306" s="903"/>
      <c r="E306" s="903"/>
      <c r="F306" s="903"/>
      <c r="G306" s="904"/>
      <c r="H306" s="903"/>
      <c r="I306" s="903"/>
      <c r="J306" s="903"/>
      <c r="K306" s="905"/>
      <c r="L306" s="903"/>
      <c r="M306" s="903"/>
      <c r="N306" s="903"/>
      <c r="O306" s="903"/>
      <c r="P306" s="903"/>
      <c r="Q306" s="720"/>
      <c r="R306" s="720"/>
      <c r="S306" s="720"/>
      <c r="T306" s="720"/>
      <c r="U306" s="720"/>
      <c r="V306" s="720"/>
      <c r="W306" s="720"/>
      <c r="X306" s="720"/>
      <c r="Y306" s="720"/>
      <c r="Z306" s="720"/>
      <c r="AA306" s="720"/>
      <c r="AB306" s="720"/>
    </row>
    <row r="307" spans="1:28" ht="12.75" customHeight="1">
      <c r="A307" s="902"/>
      <c r="B307" s="903"/>
      <c r="C307" s="903"/>
      <c r="D307" s="903"/>
      <c r="E307" s="903"/>
      <c r="F307" s="903"/>
      <c r="G307" s="904"/>
      <c r="H307" s="903"/>
      <c r="I307" s="903"/>
      <c r="J307" s="903"/>
      <c r="K307" s="905"/>
      <c r="L307" s="903"/>
      <c r="M307" s="903"/>
      <c r="N307" s="903"/>
      <c r="O307" s="903"/>
      <c r="P307" s="903"/>
      <c r="Q307" s="720"/>
      <c r="R307" s="720"/>
      <c r="S307" s="720"/>
      <c r="T307" s="720"/>
      <c r="U307" s="720"/>
      <c r="V307" s="720"/>
      <c r="W307" s="720"/>
      <c r="X307" s="720"/>
      <c r="Y307" s="720"/>
      <c r="Z307" s="720"/>
      <c r="AA307" s="720"/>
      <c r="AB307" s="720"/>
    </row>
    <row r="308" spans="1:28" ht="12.75" customHeight="1">
      <c r="A308" s="902"/>
      <c r="B308" s="903"/>
      <c r="C308" s="903"/>
      <c r="D308" s="903"/>
      <c r="E308" s="903"/>
      <c r="F308" s="903"/>
      <c r="G308" s="904"/>
      <c r="H308" s="903"/>
      <c r="I308" s="903"/>
      <c r="J308" s="903"/>
      <c r="K308" s="905"/>
      <c r="L308" s="903"/>
      <c r="M308" s="903"/>
      <c r="N308" s="903"/>
      <c r="O308" s="903"/>
      <c r="P308" s="903"/>
      <c r="Q308" s="720"/>
      <c r="R308" s="720"/>
      <c r="S308" s="720"/>
      <c r="T308" s="720"/>
      <c r="U308" s="720"/>
      <c r="V308" s="720"/>
      <c r="W308" s="720"/>
      <c r="X308" s="720"/>
      <c r="Y308" s="720"/>
      <c r="Z308" s="720"/>
      <c r="AA308" s="720"/>
      <c r="AB308" s="720"/>
    </row>
    <row r="309" spans="1:28" ht="12.75" customHeight="1">
      <c r="A309" s="902"/>
      <c r="B309" s="903"/>
      <c r="C309" s="903"/>
      <c r="D309" s="903"/>
      <c r="E309" s="903"/>
      <c r="F309" s="903"/>
      <c r="G309" s="904"/>
      <c r="H309" s="903"/>
      <c r="I309" s="903"/>
      <c r="J309" s="903"/>
      <c r="K309" s="905"/>
      <c r="L309" s="903"/>
      <c r="M309" s="903"/>
      <c r="N309" s="903"/>
      <c r="O309" s="903"/>
      <c r="P309" s="903"/>
      <c r="Q309" s="720"/>
      <c r="R309" s="720"/>
      <c r="S309" s="720"/>
      <c r="T309" s="720"/>
      <c r="U309" s="720"/>
      <c r="V309" s="720"/>
      <c r="W309" s="720"/>
      <c r="X309" s="720"/>
      <c r="Y309" s="720"/>
      <c r="Z309" s="720"/>
      <c r="AA309" s="720"/>
      <c r="AB309" s="720"/>
    </row>
    <row r="310" spans="1:28" ht="12.75" customHeight="1">
      <c r="A310" s="902"/>
      <c r="B310" s="903"/>
      <c r="C310" s="903"/>
      <c r="D310" s="903"/>
      <c r="E310" s="903"/>
      <c r="F310" s="903"/>
      <c r="G310" s="904"/>
      <c r="H310" s="903"/>
      <c r="I310" s="903"/>
      <c r="J310" s="903"/>
      <c r="K310" s="905"/>
      <c r="L310" s="903"/>
      <c r="M310" s="903"/>
      <c r="N310" s="903"/>
      <c r="O310" s="903"/>
      <c r="P310" s="903"/>
      <c r="Q310" s="720"/>
      <c r="R310" s="720"/>
      <c r="S310" s="720"/>
      <c r="T310" s="720"/>
      <c r="U310" s="720"/>
      <c r="V310" s="720"/>
      <c r="W310" s="720"/>
      <c r="X310" s="720"/>
      <c r="Y310" s="720"/>
      <c r="Z310" s="720"/>
      <c r="AA310" s="720"/>
      <c r="AB310" s="720"/>
    </row>
    <row r="311" spans="1:28" ht="12.75" customHeight="1">
      <c r="A311" s="902"/>
      <c r="B311" s="903"/>
      <c r="C311" s="903"/>
      <c r="D311" s="903"/>
      <c r="E311" s="903"/>
      <c r="F311" s="903"/>
      <c r="G311" s="904"/>
      <c r="H311" s="903"/>
      <c r="I311" s="903"/>
      <c r="J311" s="903"/>
      <c r="K311" s="905"/>
      <c r="L311" s="903"/>
      <c r="M311" s="903"/>
      <c r="N311" s="903"/>
      <c r="O311" s="903"/>
      <c r="P311" s="903"/>
      <c r="Q311" s="720"/>
      <c r="R311" s="720"/>
      <c r="S311" s="720"/>
      <c r="T311" s="720"/>
      <c r="U311" s="720"/>
      <c r="V311" s="720"/>
      <c r="W311" s="720"/>
      <c r="X311" s="720"/>
      <c r="Y311" s="720"/>
      <c r="Z311" s="720"/>
      <c r="AA311" s="720"/>
      <c r="AB311" s="720"/>
    </row>
    <row r="312" spans="1:28" ht="12.75" customHeight="1">
      <c r="A312" s="902"/>
      <c r="B312" s="903"/>
      <c r="C312" s="903"/>
      <c r="D312" s="903"/>
      <c r="E312" s="903"/>
      <c r="F312" s="903"/>
      <c r="G312" s="904"/>
      <c r="H312" s="903"/>
      <c r="I312" s="903"/>
      <c r="J312" s="903"/>
      <c r="K312" s="905"/>
      <c r="L312" s="903"/>
      <c r="M312" s="903"/>
      <c r="N312" s="903"/>
      <c r="O312" s="903"/>
      <c r="P312" s="903"/>
      <c r="Q312" s="720"/>
      <c r="R312" s="720"/>
      <c r="S312" s="720"/>
      <c r="T312" s="720"/>
      <c r="U312" s="720"/>
      <c r="V312" s="720"/>
      <c r="W312" s="720"/>
      <c r="X312" s="720"/>
      <c r="Y312" s="720"/>
      <c r="Z312" s="720"/>
      <c r="AA312" s="720"/>
      <c r="AB312" s="720"/>
    </row>
    <row r="313" spans="1:28" ht="12.75" customHeight="1">
      <c r="A313" s="902"/>
      <c r="B313" s="903"/>
      <c r="C313" s="903"/>
      <c r="D313" s="903"/>
      <c r="E313" s="903"/>
      <c r="F313" s="903"/>
      <c r="G313" s="904"/>
      <c r="H313" s="903"/>
      <c r="I313" s="903"/>
      <c r="J313" s="903"/>
      <c r="K313" s="905"/>
      <c r="L313" s="903"/>
      <c r="M313" s="903"/>
      <c r="N313" s="903"/>
      <c r="O313" s="903"/>
      <c r="P313" s="903"/>
      <c r="Q313" s="720"/>
      <c r="R313" s="720"/>
      <c r="S313" s="720"/>
      <c r="T313" s="720"/>
      <c r="U313" s="720"/>
      <c r="V313" s="720"/>
      <c r="W313" s="720"/>
      <c r="X313" s="720"/>
      <c r="Y313" s="720"/>
      <c r="Z313" s="720"/>
      <c r="AA313" s="720"/>
      <c r="AB313" s="720"/>
    </row>
    <row r="314" spans="1:28" ht="12.75" customHeight="1">
      <c r="A314" s="902"/>
      <c r="B314" s="903"/>
      <c r="C314" s="903"/>
      <c r="D314" s="903"/>
      <c r="E314" s="903"/>
      <c r="F314" s="903"/>
      <c r="G314" s="904"/>
      <c r="H314" s="903"/>
      <c r="I314" s="903"/>
      <c r="J314" s="903"/>
      <c r="K314" s="905"/>
      <c r="L314" s="903"/>
      <c r="M314" s="903"/>
      <c r="N314" s="903"/>
      <c r="O314" s="903"/>
      <c r="P314" s="903"/>
      <c r="Q314" s="720"/>
      <c r="R314" s="720"/>
      <c r="S314" s="720"/>
      <c r="T314" s="720"/>
      <c r="U314" s="720"/>
      <c r="V314" s="720"/>
      <c r="W314" s="720"/>
      <c r="X314" s="720"/>
      <c r="Y314" s="720"/>
      <c r="Z314" s="720"/>
      <c r="AA314" s="720"/>
      <c r="AB314" s="720"/>
    </row>
    <row r="315" spans="1:28" ht="12.75" customHeight="1">
      <c r="A315" s="902"/>
      <c r="B315" s="903"/>
      <c r="C315" s="903"/>
      <c r="D315" s="903"/>
      <c r="E315" s="903"/>
      <c r="F315" s="903"/>
      <c r="G315" s="904"/>
      <c r="H315" s="903"/>
      <c r="I315" s="903"/>
      <c r="J315" s="903"/>
      <c r="K315" s="905"/>
      <c r="L315" s="903"/>
      <c r="M315" s="903"/>
      <c r="N315" s="903"/>
      <c r="O315" s="903"/>
      <c r="P315" s="903"/>
      <c r="Q315" s="720"/>
      <c r="R315" s="720"/>
      <c r="S315" s="720"/>
      <c r="T315" s="720"/>
      <c r="U315" s="720"/>
      <c r="V315" s="720"/>
      <c r="W315" s="720"/>
      <c r="X315" s="720"/>
      <c r="Y315" s="720"/>
      <c r="Z315" s="720"/>
      <c r="AA315" s="720"/>
      <c r="AB315" s="720"/>
    </row>
    <row r="316" spans="1:28" ht="12.75" customHeight="1">
      <c r="A316" s="902"/>
      <c r="B316" s="903"/>
      <c r="C316" s="903"/>
      <c r="D316" s="903"/>
      <c r="E316" s="903"/>
      <c r="F316" s="903"/>
      <c r="G316" s="904"/>
      <c r="H316" s="903"/>
      <c r="I316" s="903"/>
      <c r="J316" s="903"/>
      <c r="K316" s="905"/>
      <c r="L316" s="903"/>
      <c r="M316" s="903"/>
      <c r="N316" s="903"/>
      <c r="O316" s="903"/>
      <c r="P316" s="903"/>
      <c r="Q316" s="720"/>
      <c r="R316" s="720"/>
      <c r="S316" s="720"/>
      <c r="T316" s="720"/>
      <c r="U316" s="720"/>
      <c r="V316" s="720"/>
      <c r="W316" s="720"/>
      <c r="X316" s="720"/>
      <c r="Y316" s="720"/>
      <c r="Z316" s="720"/>
      <c r="AA316" s="720"/>
      <c r="AB316" s="720"/>
    </row>
    <row r="317" spans="1:28" ht="12.75" customHeight="1">
      <c r="A317" s="902"/>
      <c r="B317" s="903"/>
      <c r="C317" s="903"/>
      <c r="D317" s="903"/>
      <c r="E317" s="903"/>
      <c r="F317" s="903"/>
      <c r="G317" s="904"/>
      <c r="H317" s="903"/>
      <c r="I317" s="903"/>
      <c r="J317" s="903"/>
      <c r="K317" s="905"/>
      <c r="L317" s="903"/>
      <c r="M317" s="903"/>
      <c r="N317" s="903"/>
      <c r="O317" s="903"/>
      <c r="P317" s="903"/>
      <c r="Q317" s="720"/>
      <c r="R317" s="720"/>
      <c r="S317" s="720"/>
      <c r="T317" s="720"/>
      <c r="U317" s="720"/>
      <c r="V317" s="720"/>
      <c r="W317" s="720"/>
      <c r="X317" s="720"/>
      <c r="Y317" s="720"/>
      <c r="Z317" s="720"/>
      <c r="AA317" s="720"/>
      <c r="AB317" s="720"/>
    </row>
    <row r="318" spans="1:28" ht="12.75" customHeight="1">
      <c r="A318" s="902"/>
      <c r="B318" s="903"/>
      <c r="C318" s="903"/>
      <c r="D318" s="903"/>
      <c r="E318" s="903"/>
      <c r="F318" s="903"/>
      <c r="G318" s="904"/>
      <c r="H318" s="903"/>
      <c r="I318" s="903"/>
      <c r="J318" s="903"/>
      <c r="K318" s="905"/>
      <c r="L318" s="903"/>
      <c r="M318" s="903"/>
      <c r="N318" s="903"/>
      <c r="O318" s="903"/>
      <c r="P318" s="903"/>
      <c r="Q318" s="720"/>
      <c r="R318" s="720"/>
      <c r="S318" s="720"/>
      <c r="T318" s="720"/>
      <c r="U318" s="720"/>
      <c r="V318" s="720"/>
      <c r="W318" s="720"/>
      <c r="X318" s="720"/>
      <c r="Y318" s="720"/>
      <c r="Z318" s="720"/>
      <c r="AA318" s="720"/>
      <c r="AB318" s="720"/>
    </row>
    <row r="319" spans="1:28" ht="12.75" customHeight="1">
      <c r="A319" s="902"/>
      <c r="B319" s="903"/>
      <c r="C319" s="903"/>
      <c r="D319" s="903"/>
      <c r="E319" s="903"/>
      <c r="F319" s="903"/>
      <c r="G319" s="904"/>
      <c r="H319" s="903"/>
      <c r="I319" s="903"/>
      <c r="J319" s="903"/>
      <c r="K319" s="905"/>
      <c r="L319" s="903"/>
      <c r="M319" s="903"/>
      <c r="N319" s="903"/>
      <c r="O319" s="903"/>
      <c r="P319" s="903"/>
      <c r="Q319" s="720"/>
      <c r="R319" s="720"/>
      <c r="S319" s="720"/>
      <c r="T319" s="720"/>
      <c r="U319" s="720"/>
      <c r="V319" s="720"/>
      <c r="W319" s="720"/>
      <c r="X319" s="720"/>
      <c r="Y319" s="720"/>
      <c r="Z319" s="720"/>
      <c r="AA319" s="720"/>
      <c r="AB319" s="720"/>
    </row>
    <row r="320" spans="1:28" ht="12.75" customHeight="1">
      <c r="A320" s="902"/>
      <c r="B320" s="903"/>
      <c r="C320" s="903"/>
      <c r="D320" s="903"/>
      <c r="E320" s="903"/>
      <c r="F320" s="903"/>
      <c r="G320" s="904"/>
      <c r="H320" s="903"/>
      <c r="I320" s="903"/>
      <c r="J320" s="903"/>
      <c r="K320" s="905"/>
      <c r="L320" s="903"/>
      <c r="M320" s="903"/>
      <c r="N320" s="903"/>
      <c r="O320" s="903"/>
      <c r="P320" s="903"/>
      <c r="Q320" s="720"/>
      <c r="R320" s="720"/>
      <c r="S320" s="720"/>
      <c r="T320" s="720"/>
      <c r="U320" s="720"/>
      <c r="V320" s="720"/>
      <c r="W320" s="720"/>
      <c r="X320" s="720"/>
      <c r="Y320" s="720"/>
      <c r="Z320" s="720"/>
      <c r="AA320" s="720"/>
      <c r="AB320" s="720"/>
    </row>
    <row r="321" spans="1:28" ht="12.75" customHeight="1">
      <c r="A321" s="902"/>
      <c r="B321" s="903"/>
      <c r="C321" s="903"/>
      <c r="D321" s="903"/>
      <c r="E321" s="903"/>
      <c r="F321" s="903"/>
      <c r="G321" s="904"/>
      <c r="H321" s="903"/>
      <c r="I321" s="903"/>
      <c r="J321" s="903"/>
      <c r="K321" s="905"/>
      <c r="L321" s="903"/>
      <c r="M321" s="903"/>
      <c r="N321" s="903"/>
      <c r="O321" s="903"/>
      <c r="P321" s="903"/>
      <c r="Q321" s="720"/>
      <c r="R321" s="720"/>
      <c r="S321" s="720"/>
      <c r="T321" s="720"/>
      <c r="U321" s="720"/>
      <c r="V321" s="720"/>
      <c r="W321" s="720"/>
      <c r="X321" s="720"/>
      <c r="Y321" s="720"/>
      <c r="Z321" s="720"/>
      <c r="AA321" s="720"/>
      <c r="AB321" s="720"/>
    </row>
    <row r="322" spans="1:28" ht="12.75" customHeight="1">
      <c r="A322" s="902"/>
      <c r="B322" s="903"/>
      <c r="C322" s="903"/>
      <c r="D322" s="903"/>
      <c r="E322" s="903"/>
      <c r="F322" s="903"/>
      <c r="G322" s="904"/>
      <c r="H322" s="903"/>
      <c r="I322" s="903"/>
      <c r="J322" s="903"/>
      <c r="K322" s="905"/>
      <c r="L322" s="903"/>
      <c r="M322" s="903"/>
      <c r="N322" s="903"/>
      <c r="O322" s="903"/>
      <c r="P322" s="903"/>
      <c r="Q322" s="720"/>
      <c r="R322" s="720"/>
      <c r="S322" s="720"/>
      <c r="T322" s="720"/>
      <c r="U322" s="720"/>
      <c r="V322" s="720"/>
      <c r="W322" s="720"/>
      <c r="X322" s="720"/>
      <c r="Y322" s="720"/>
      <c r="Z322" s="720"/>
      <c r="AA322" s="720"/>
      <c r="AB322" s="720"/>
    </row>
    <row r="323" spans="1:28" ht="12.75" customHeight="1">
      <c r="A323" s="902"/>
      <c r="B323" s="903"/>
      <c r="C323" s="903"/>
      <c r="D323" s="903"/>
      <c r="E323" s="903"/>
      <c r="F323" s="903"/>
      <c r="G323" s="904"/>
      <c r="H323" s="903"/>
      <c r="I323" s="903"/>
      <c r="J323" s="903"/>
      <c r="K323" s="905"/>
      <c r="L323" s="903"/>
      <c r="M323" s="903"/>
      <c r="N323" s="903"/>
      <c r="O323" s="903"/>
      <c r="P323" s="903"/>
      <c r="Q323" s="720"/>
      <c r="R323" s="720"/>
      <c r="S323" s="720"/>
      <c r="T323" s="720"/>
      <c r="U323" s="720"/>
      <c r="V323" s="720"/>
      <c r="W323" s="720"/>
      <c r="X323" s="720"/>
      <c r="Y323" s="720"/>
      <c r="Z323" s="720"/>
      <c r="AA323" s="720"/>
      <c r="AB323" s="720"/>
    </row>
    <row r="324" spans="1:28" ht="12.75" customHeight="1">
      <c r="A324" s="902"/>
      <c r="B324" s="903"/>
      <c r="C324" s="903"/>
      <c r="D324" s="903"/>
      <c r="E324" s="903"/>
      <c r="F324" s="903"/>
      <c r="G324" s="904"/>
      <c r="H324" s="903"/>
      <c r="I324" s="903"/>
      <c r="J324" s="903"/>
      <c r="K324" s="905"/>
      <c r="L324" s="903"/>
      <c r="M324" s="903"/>
      <c r="N324" s="903"/>
      <c r="O324" s="903"/>
      <c r="P324" s="903"/>
      <c r="Q324" s="720"/>
      <c r="R324" s="720"/>
      <c r="S324" s="720"/>
      <c r="T324" s="720"/>
      <c r="U324" s="720"/>
      <c r="V324" s="720"/>
      <c r="W324" s="720"/>
      <c r="X324" s="720"/>
      <c r="Y324" s="720"/>
      <c r="Z324" s="720"/>
      <c r="AA324" s="720"/>
      <c r="AB324" s="720"/>
    </row>
    <row r="325" spans="1:28" ht="12.75" customHeight="1">
      <c r="A325" s="902"/>
      <c r="B325" s="903"/>
      <c r="C325" s="903"/>
      <c r="D325" s="903"/>
      <c r="E325" s="903"/>
      <c r="F325" s="903"/>
      <c r="G325" s="904"/>
      <c r="H325" s="903"/>
      <c r="I325" s="903"/>
      <c r="J325" s="903"/>
      <c r="K325" s="905"/>
      <c r="L325" s="903"/>
      <c r="M325" s="903"/>
      <c r="N325" s="903"/>
      <c r="O325" s="903"/>
      <c r="P325" s="903"/>
      <c r="Q325" s="720"/>
      <c r="R325" s="720"/>
      <c r="S325" s="720"/>
      <c r="T325" s="720"/>
      <c r="U325" s="720"/>
      <c r="V325" s="720"/>
      <c r="W325" s="720"/>
      <c r="X325" s="720"/>
      <c r="Y325" s="720"/>
      <c r="Z325" s="720"/>
      <c r="AA325" s="720"/>
      <c r="AB325" s="720"/>
    </row>
    <row r="326" spans="1:28" ht="12.75" customHeight="1">
      <c r="A326" s="902"/>
      <c r="B326" s="903"/>
      <c r="C326" s="903"/>
      <c r="D326" s="903"/>
      <c r="E326" s="903"/>
      <c r="F326" s="903"/>
      <c r="G326" s="904"/>
      <c r="H326" s="903"/>
      <c r="I326" s="903"/>
      <c r="J326" s="903"/>
      <c r="K326" s="905"/>
      <c r="L326" s="903"/>
      <c r="M326" s="903"/>
      <c r="N326" s="903"/>
      <c r="O326" s="903"/>
      <c r="P326" s="903"/>
      <c r="Q326" s="720"/>
      <c r="R326" s="720"/>
      <c r="S326" s="720"/>
      <c r="T326" s="720"/>
      <c r="U326" s="720"/>
      <c r="V326" s="720"/>
      <c r="W326" s="720"/>
      <c r="X326" s="720"/>
      <c r="Y326" s="720"/>
      <c r="Z326" s="720"/>
      <c r="AA326" s="720"/>
      <c r="AB326" s="720"/>
    </row>
    <row r="327" spans="1:28" ht="12.75" customHeight="1">
      <c r="A327" s="902"/>
      <c r="B327" s="903"/>
      <c r="C327" s="903"/>
      <c r="D327" s="903"/>
      <c r="E327" s="903"/>
      <c r="F327" s="903"/>
      <c r="G327" s="904"/>
      <c r="H327" s="903"/>
      <c r="I327" s="903"/>
      <c r="J327" s="903"/>
      <c r="K327" s="905"/>
      <c r="L327" s="903"/>
      <c r="M327" s="903"/>
      <c r="N327" s="903"/>
      <c r="O327" s="903"/>
      <c r="P327" s="903"/>
      <c r="Q327" s="720"/>
      <c r="R327" s="720"/>
      <c r="S327" s="720"/>
      <c r="T327" s="720"/>
      <c r="U327" s="720"/>
      <c r="V327" s="720"/>
      <c r="W327" s="720"/>
      <c r="X327" s="720"/>
      <c r="Y327" s="720"/>
      <c r="Z327" s="720"/>
      <c r="AA327" s="720"/>
      <c r="AB327" s="720"/>
    </row>
    <row r="328" spans="1:28" ht="12.75" customHeight="1">
      <c r="A328" s="902"/>
      <c r="B328" s="903"/>
      <c r="C328" s="903"/>
      <c r="D328" s="903"/>
      <c r="E328" s="903"/>
      <c r="F328" s="903"/>
      <c r="G328" s="904"/>
      <c r="H328" s="903"/>
      <c r="I328" s="903"/>
      <c r="J328" s="903"/>
      <c r="K328" s="905"/>
      <c r="L328" s="903"/>
      <c r="M328" s="903"/>
      <c r="N328" s="903"/>
      <c r="O328" s="903"/>
      <c r="P328" s="903"/>
      <c r="Q328" s="720"/>
      <c r="R328" s="720"/>
      <c r="S328" s="720"/>
      <c r="T328" s="720"/>
      <c r="U328" s="720"/>
      <c r="V328" s="720"/>
      <c r="W328" s="720"/>
      <c r="X328" s="720"/>
      <c r="Y328" s="720"/>
      <c r="Z328" s="720"/>
      <c r="AA328" s="720"/>
      <c r="AB328" s="720"/>
    </row>
    <row r="329" spans="1:28" ht="12.75" customHeight="1">
      <c r="A329" s="902"/>
      <c r="B329" s="903"/>
      <c r="C329" s="903"/>
      <c r="D329" s="903"/>
      <c r="E329" s="903"/>
      <c r="F329" s="903"/>
      <c r="G329" s="904"/>
      <c r="H329" s="903"/>
      <c r="I329" s="903"/>
      <c r="J329" s="903"/>
      <c r="K329" s="905"/>
      <c r="L329" s="903"/>
      <c r="M329" s="903"/>
      <c r="N329" s="903"/>
      <c r="O329" s="903"/>
      <c r="P329" s="903"/>
      <c r="Q329" s="720"/>
      <c r="R329" s="720"/>
      <c r="S329" s="720"/>
      <c r="T329" s="720"/>
      <c r="U329" s="720"/>
      <c r="V329" s="720"/>
      <c r="W329" s="720"/>
      <c r="X329" s="720"/>
      <c r="Y329" s="720"/>
      <c r="Z329" s="720"/>
      <c r="AA329" s="720"/>
      <c r="AB329" s="720"/>
    </row>
    <row r="330" spans="1:28" ht="12.75" customHeight="1">
      <c r="A330" s="902"/>
      <c r="B330" s="903"/>
      <c r="C330" s="903"/>
      <c r="D330" s="903"/>
      <c r="E330" s="903"/>
      <c r="F330" s="903"/>
      <c r="G330" s="904"/>
      <c r="H330" s="903"/>
      <c r="I330" s="903"/>
      <c r="J330" s="903"/>
      <c r="K330" s="905"/>
      <c r="L330" s="903"/>
      <c r="M330" s="903"/>
      <c r="N330" s="903"/>
      <c r="O330" s="903"/>
      <c r="P330" s="903"/>
      <c r="Q330" s="720"/>
      <c r="R330" s="720"/>
      <c r="S330" s="720"/>
      <c r="T330" s="720"/>
      <c r="U330" s="720"/>
      <c r="V330" s="720"/>
      <c r="W330" s="720"/>
      <c r="X330" s="720"/>
      <c r="Y330" s="720"/>
      <c r="Z330" s="720"/>
      <c r="AA330" s="720"/>
      <c r="AB330" s="720"/>
    </row>
    <row r="331" spans="1:28" ht="12.75" customHeight="1">
      <c r="A331" s="902"/>
      <c r="B331" s="903"/>
      <c r="C331" s="903"/>
      <c r="D331" s="903"/>
      <c r="E331" s="903"/>
      <c r="F331" s="903"/>
      <c r="G331" s="904"/>
      <c r="H331" s="903"/>
      <c r="I331" s="903"/>
      <c r="J331" s="903"/>
      <c r="K331" s="905"/>
      <c r="L331" s="903"/>
      <c r="M331" s="903"/>
      <c r="N331" s="903"/>
      <c r="O331" s="903"/>
      <c r="P331" s="903"/>
      <c r="Q331" s="720"/>
      <c r="R331" s="720"/>
      <c r="S331" s="720"/>
      <c r="T331" s="720"/>
      <c r="U331" s="720"/>
      <c r="V331" s="720"/>
      <c r="W331" s="720"/>
      <c r="X331" s="720"/>
      <c r="Y331" s="720"/>
      <c r="Z331" s="720"/>
      <c r="AA331" s="720"/>
      <c r="AB331" s="720"/>
    </row>
    <row r="332" spans="1:28" ht="12.75" customHeight="1">
      <c r="A332" s="902"/>
      <c r="B332" s="903"/>
      <c r="C332" s="903"/>
      <c r="D332" s="903"/>
      <c r="E332" s="903"/>
      <c r="F332" s="903"/>
      <c r="G332" s="904"/>
      <c r="H332" s="903"/>
      <c r="I332" s="903"/>
      <c r="J332" s="903"/>
      <c r="K332" s="905"/>
      <c r="L332" s="903"/>
      <c r="M332" s="903"/>
      <c r="N332" s="903"/>
      <c r="O332" s="903"/>
      <c r="P332" s="903"/>
      <c r="Q332" s="720"/>
      <c r="R332" s="720"/>
      <c r="S332" s="720"/>
      <c r="T332" s="720"/>
      <c r="U332" s="720"/>
      <c r="V332" s="720"/>
      <c r="W332" s="720"/>
      <c r="X332" s="720"/>
      <c r="Y332" s="720"/>
      <c r="Z332" s="720"/>
      <c r="AA332" s="720"/>
      <c r="AB332" s="720"/>
    </row>
    <row r="333" spans="1:28" ht="12.75" customHeight="1">
      <c r="A333" s="902"/>
      <c r="B333" s="903"/>
      <c r="C333" s="903"/>
      <c r="D333" s="903"/>
      <c r="E333" s="903"/>
      <c r="F333" s="903"/>
      <c r="G333" s="904"/>
      <c r="H333" s="903"/>
      <c r="I333" s="903"/>
      <c r="J333" s="903"/>
      <c r="K333" s="905"/>
      <c r="L333" s="903"/>
      <c r="M333" s="903"/>
      <c r="N333" s="903"/>
      <c r="O333" s="903"/>
      <c r="P333" s="903"/>
      <c r="Q333" s="720"/>
      <c r="R333" s="720"/>
      <c r="S333" s="720"/>
      <c r="T333" s="720"/>
      <c r="U333" s="720"/>
      <c r="V333" s="720"/>
      <c r="W333" s="720"/>
      <c r="X333" s="720"/>
      <c r="Y333" s="720"/>
      <c r="Z333" s="720"/>
      <c r="AA333" s="720"/>
      <c r="AB333" s="720"/>
    </row>
    <row r="334" spans="1:28" ht="12.75" customHeight="1">
      <c r="A334" s="902"/>
      <c r="B334" s="903"/>
      <c r="C334" s="903"/>
      <c r="D334" s="903"/>
      <c r="E334" s="903"/>
      <c r="F334" s="903"/>
      <c r="G334" s="904"/>
      <c r="H334" s="903"/>
      <c r="I334" s="903"/>
      <c r="J334" s="903"/>
      <c r="K334" s="905"/>
      <c r="L334" s="903"/>
      <c r="M334" s="903"/>
      <c r="N334" s="903"/>
      <c r="O334" s="903"/>
      <c r="P334" s="903"/>
      <c r="Q334" s="720"/>
      <c r="R334" s="720"/>
      <c r="S334" s="720"/>
      <c r="T334" s="720"/>
      <c r="U334" s="720"/>
      <c r="V334" s="720"/>
      <c r="W334" s="720"/>
      <c r="X334" s="720"/>
      <c r="Y334" s="720"/>
      <c r="Z334" s="720"/>
      <c r="AA334" s="720"/>
      <c r="AB334" s="720"/>
    </row>
    <row r="335" spans="1:28" ht="12.75" customHeight="1">
      <c r="A335" s="902"/>
      <c r="B335" s="903"/>
      <c r="C335" s="903"/>
      <c r="D335" s="903"/>
      <c r="E335" s="903"/>
      <c r="F335" s="903"/>
      <c r="G335" s="904"/>
      <c r="H335" s="903"/>
      <c r="I335" s="903"/>
      <c r="J335" s="903"/>
      <c r="K335" s="905"/>
      <c r="L335" s="903"/>
      <c r="M335" s="903"/>
      <c r="N335" s="903"/>
      <c r="O335" s="903"/>
      <c r="P335" s="903"/>
      <c r="Q335" s="720"/>
      <c r="R335" s="720"/>
      <c r="S335" s="720"/>
      <c r="T335" s="720"/>
      <c r="U335" s="720"/>
      <c r="V335" s="720"/>
      <c r="W335" s="720"/>
      <c r="X335" s="720"/>
      <c r="Y335" s="720"/>
      <c r="Z335" s="720"/>
      <c r="AA335" s="720"/>
      <c r="AB335" s="720"/>
    </row>
    <row r="336" spans="1:28" ht="12.75" customHeight="1">
      <c r="A336" s="902"/>
      <c r="B336" s="903"/>
      <c r="C336" s="720"/>
      <c r="D336" s="720"/>
      <c r="E336" s="720"/>
      <c r="F336" s="720"/>
      <c r="G336" s="906"/>
      <c r="H336" s="720"/>
      <c r="I336" s="720"/>
      <c r="J336" s="720"/>
      <c r="K336" s="907"/>
      <c r="L336" s="720"/>
      <c r="M336" s="720"/>
      <c r="N336" s="720"/>
      <c r="O336" s="720"/>
      <c r="P336" s="720"/>
      <c r="Q336" s="720"/>
      <c r="R336" s="720"/>
      <c r="S336" s="720"/>
      <c r="T336" s="720"/>
      <c r="U336" s="720"/>
      <c r="V336" s="720"/>
      <c r="W336" s="720"/>
      <c r="X336" s="720"/>
      <c r="Y336" s="720"/>
      <c r="Z336" s="720"/>
      <c r="AA336" s="720"/>
      <c r="AB336" s="720"/>
    </row>
    <row r="337" spans="1:28" ht="12.75" customHeight="1">
      <c r="A337" s="902"/>
      <c r="B337" s="903"/>
      <c r="C337" s="720"/>
      <c r="D337" s="720"/>
      <c r="E337" s="720"/>
      <c r="F337" s="720"/>
      <c r="G337" s="906"/>
      <c r="H337" s="720"/>
      <c r="I337" s="720"/>
      <c r="J337" s="720"/>
      <c r="K337" s="907"/>
      <c r="L337" s="720"/>
      <c r="M337" s="720"/>
      <c r="N337" s="720"/>
      <c r="O337" s="720"/>
      <c r="P337" s="720"/>
      <c r="Q337" s="720"/>
      <c r="R337" s="720"/>
      <c r="S337" s="720"/>
      <c r="T337" s="720"/>
      <c r="U337" s="720"/>
      <c r="V337" s="720"/>
      <c r="W337" s="720"/>
      <c r="X337" s="720"/>
      <c r="Y337" s="720"/>
      <c r="Z337" s="720"/>
      <c r="AA337" s="720"/>
      <c r="AB337" s="720"/>
    </row>
    <row r="338" spans="1:28" ht="12.75" customHeight="1">
      <c r="A338" s="902"/>
      <c r="B338" s="903"/>
      <c r="C338" s="720"/>
      <c r="D338" s="720"/>
      <c r="E338" s="720"/>
      <c r="F338" s="720"/>
      <c r="G338" s="906"/>
      <c r="H338" s="720"/>
      <c r="I338" s="720"/>
      <c r="J338" s="720"/>
      <c r="K338" s="907"/>
      <c r="L338" s="720"/>
      <c r="M338" s="720"/>
      <c r="N338" s="720"/>
      <c r="O338" s="720"/>
      <c r="P338" s="720"/>
      <c r="Q338" s="720"/>
      <c r="R338" s="720"/>
      <c r="S338" s="720"/>
      <c r="T338" s="720"/>
      <c r="U338" s="720"/>
      <c r="V338" s="720"/>
      <c r="W338" s="720"/>
      <c r="X338" s="720"/>
      <c r="Y338" s="720"/>
      <c r="Z338" s="720"/>
      <c r="AA338" s="720"/>
      <c r="AB338" s="720"/>
    </row>
    <row r="339" spans="1:28" ht="12.75" customHeight="1">
      <c r="A339" s="902"/>
      <c r="B339" s="903"/>
      <c r="C339" s="720"/>
      <c r="D339" s="720"/>
      <c r="E339" s="720"/>
      <c r="F339" s="720"/>
      <c r="G339" s="906"/>
      <c r="H339" s="720"/>
      <c r="I339" s="720"/>
      <c r="J339" s="720"/>
      <c r="K339" s="907"/>
      <c r="L339" s="720"/>
      <c r="M339" s="720"/>
      <c r="N339" s="720"/>
      <c r="O339" s="720"/>
      <c r="P339" s="720"/>
      <c r="Q339" s="720"/>
      <c r="R339" s="720"/>
      <c r="S339" s="720"/>
      <c r="T339" s="720"/>
      <c r="U339" s="720"/>
      <c r="V339" s="720"/>
      <c r="W339" s="720"/>
      <c r="X339" s="720"/>
      <c r="Y339" s="720"/>
      <c r="Z339" s="720"/>
      <c r="AA339" s="720"/>
      <c r="AB339" s="720"/>
    </row>
    <row r="340" spans="1:28" ht="12.75" customHeight="1">
      <c r="A340" s="902"/>
      <c r="B340" s="903"/>
      <c r="C340" s="720"/>
      <c r="D340" s="720"/>
      <c r="E340" s="720"/>
      <c r="F340" s="720"/>
      <c r="G340" s="906"/>
      <c r="H340" s="720"/>
      <c r="I340" s="720"/>
      <c r="J340" s="720"/>
      <c r="K340" s="907"/>
      <c r="L340" s="720"/>
      <c r="M340" s="720"/>
      <c r="N340" s="720"/>
      <c r="O340" s="720"/>
      <c r="P340" s="720"/>
      <c r="Q340" s="720"/>
      <c r="R340" s="720"/>
      <c r="S340" s="720"/>
      <c r="T340" s="720"/>
      <c r="U340" s="720"/>
      <c r="V340" s="720"/>
      <c r="W340" s="720"/>
      <c r="X340" s="720"/>
      <c r="Y340" s="720"/>
      <c r="Z340" s="720"/>
      <c r="AA340" s="720"/>
      <c r="AB340" s="720"/>
    </row>
    <row r="341" spans="1:28" ht="12.75" customHeight="1">
      <c r="A341" s="902"/>
      <c r="B341" s="903"/>
      <c r="C341" s="720"/>
      <c r="D341" s="720"/>
      <c r="E341" s="720"/>
      <c r="F341" s="720"/>
      <c r="G341" s="906"/>
      <c r="H341" s="720"/>
      <c r="I341" s="720"/>
      <c r="J341" s="720"/>
      <c r="K341" s="907"/>
      <c r="L341" s="720"/>
      <c r="M341" s="720"/>
      <c r="N341" s="720"/>
      <c r="O341" s="720"/>
      <c r="P341" s="720"/>
      <c r="Q341" s="720"/>
      <c r="R341" s="720"/>
      <c r="S341" s="720"/>
      <c r="T341" s="720"/>
      <c r="U341" s="720"/>
      <c r="V341" s="720"/>
      <c r="W341" s="720"/>
      <c r="X341" s="720"/>
      <c r="Y341" s="720"/>
      <c r="Z341" s="720"/>
      <c r="AA341" s="720"/>
      <c r="AB341" s="720"/>
    </row>
    <row r="342" spans="1:28" ht="12.75" customHeight="1">
      <c r="A342" s="902"/>
      <c r="B342" s="903"/>
      <c r="C342" s="720"/>
      <c r="D342" s="720"/>
      <c r="E342" s="720"/>
      <c r="F342" s="720"/>
      <c r="G342" s="906"/>
      <c r="H342" s="720"/>
      <c r="I342" s="720"/>
      <c r="J342" s="720"/>
      <c r="K342" s="907"/>
      <c r="L342" s="720"/>
      <c r="M342" s="720"/>
      <c r="N342" s="720"/>
      <c r="O342" s="720"/>
      <c r="P342" s="720"/>
      <c r="Q342" s="720"/>
      <c r="R342" s="720"/>
      <c r="S342" s="720"/>
      <c r="T342" s="720"/>
      <c r="U342" s="720"/>
      <c r="V342" s="720"/>
      <c r="W342" s="720"/>
      <c r="X342" s="720"/>
      <c r="Y342" s="720"/>
      <c r="Z342" s="720"/>
      <c r="AA342" s="720"/>
      <c r="AB342" s="720"/>
    </row>
    <row r="343" spans="1:28" ht="12.75" customHeight="1">
      <c r="A343" s="902"/>
      <c r="B343" s="903"/>
      <c r="C343" s="720"/>
      <c r="D343" s="720"/>
      <c r="E343" s="720"/>
      <c r="F343" s="720"/>
      <c r="G343" s="906"/>
      <c r="H343" s="720"/>
      <c r="I343" s="720"/>
      <c r="J343" s="720"/>
      <c r="K343" s="907"/>
      <c r="L343" s="720"/>
      <c r="M343" s="720"/>
      <c r="N343" s="720"/>
      <c r="O343" s="720"/>
      <c r="P343" s="720"/>
      <c r="Q343" s="720"/>
      <c r="R343" s="720"/>
      <c r="S343" s="720"/>
      <c r="T343" s="720"/>
      <c r="U343" s="720"/>
      <c r="V343" s="720"/>
      <c r="W343" s="720"/>
      <c r="X343" s="720"/>
      <c r="Y343" s="720"/>
      <c r="Z343" s="720"/>
      <c r="AA343" s="720"/>
      <c r="AB343" s="720"/>
    </row>
    <row r="344" spans="1:28" ht="12.75" customHeight="1">
      <c r="A344" s="902"/>
      <c r="B344" s="903"/>
      <c r="C344" s="720"/>
      <c r="D344" s="720"/>
      <c r="E344" s="720"/>
      <c r="F344" s="720"/>
      <c r="G344" s="906"/>
      <c r="H344" s="720"/>
      <c r="I344" s="720"/>
      <c r="J344" s="720"/>
      <c r="K344" s="907"/>
      <c r="L344" s="720"/>
      <c r="M344" s="720"/>
      <c r="N344" s="720"/>
      <c r="O344" s="720"/>
      <c r="P344" s="720"/>
      <c r="Q344" s="720"/>
      <c r="R344" s="720"/>
      <c r="S344" s="720"/>
      <c r="T344" s="720"/>
      <c r="U344" s="720"/>
      <c r="V344" s="720"/>
      <c r="W344" s="720"/>
      <c r="X344" s="720"/>
      <c r="Y344" s="720"/>
      <c r="Z344" s="720"/>
      <c r="AA344" s="720"/>
      <c r="AB344" s="720"/>
    </row>
    <row r="345" spans="1:28" ht="12.75" customHeight="1">
      <c r="A345" s="902"/>
      <c r="B345" s="903"/>
      <c r="C345" s="720"/>
      <c r="D345" s="720"/>
      <c r="E345" s="720"/>
      <c r="F345" s="720"/>
      <c r="G345" s="906"/>
      <c r="H345" s="720"/>
      <c r="I345" s="720"/>
      <c r="J345" s="720"/>
      <c r="K345" s="907"/>
      <c r="L345" s="720"/>
      <c r="M345" s="720"/>
      <c r="N345" s="720"/>
      <c r="O345" s="720"/>
      <c r="P345" s="720"/>
      <c r="Q345" s="720"/>
      <c r="R345" s="720"/>
      <c r="S345" s="720"/>
      <c r="T345" s="720"/>
      <c r="U345" s="720"/>
      <c r="V345" s="720"/>
      <c r="W345" s="720"/>
      <c r="X345" s="720"/>
      <c r="Y345" s="720"/>
      <c r="Z345" s="720"/>
      <c r="AA345" s="720"/>
      <c r="AB345" s="720"/>
    </row>
    <row r="346" spans="1:28" ht="12.75" customHeight="1">
      <c r="A346" s="902"/>
      <c r="B346" s="903"/>
      <c r="C346" s="720"/>
      <c r="D346" s="720"/>
      <c r="E346" s="720"/>
      <c r="F346" s="720"/>
      <c r="G346" s="906"/>
      <c r="H346" s="720"/>
      <c r="I346" s="720"/>
      <c r="J346" s="720"/>
      <c r="K346" s="907"/>
      <c r="L346" s="720"/>
      <c r="M346" s="720"/>
      <c r="N346" s="720"/>
      <c r="O346" s="720"/>
      <c r="P346" s="720"/>
      <c r="Q346" s="720"/>
      <c r="R346" s="720"/>
      <c r="S346" s="720"/>
      <c r="T346" s="720"/>
      <c r="U346" s="720"/>
      <c r="V346" s="720"/>
      <c r="W346" s="720"/>
      <c r="X346" s="720"/>
      <c r="Y346" s="720"/>
      <c r="Z346" s="720"/>
      <c r="AA346" s="720"/>
      <c r="AB346" s="720"/>
    </row>
    <row r="347" spans="1:28" ht="12.75" customHeight="1">
      <c r="A347" s="902"/>
      <c r="B347" s="903"/>
      <c r="C347" s="720"/>
      <c r="D347" s="720"/>
      <c r="E347" s="720"/>
      <c r="F347" s="720"/>
      <c r="G347" s="906"/>
      <c r="H347" s="720"/>
      <c r="I347" s="720"/>
      <c r="J347" s="720"/>
      <c r="K347" s="907"/>
      <c r="L347" s="720"/>
      <c r="M347" s="720"/>
      <c r="N347" s="720"/>
      <c r="O347" s="720"/>
      <c r="P347" s="720"/>
      <c r="Q347" s="720"/>
      <c r="R347" s="720"/>
      <c r="S347" s="720"/>
      <c r="T347" s="720"/>
      <c r="U347" s="720"/>
      <c r="V347" s="720"/>
      <c r="W347" s="720"/>
      <c r="X347" s="720"/>
      <c r="Y347" s="720"/>
      <c r="Z347" s="720"/>
      <c r="AA347" s="720"/>
      <c r="AB347" s="720"/>
    </row>
    <row r="348" spans="1:28" ht="12.75" customHeight="1">
      <c r="A348" s="902"/>
      <c r="B348" s="903"/>
      <c r="C348" s="720"/>
      <c r="D348" s="720"/>
      <c r="E348" s="720"/>
      <c r="F348" s="720"/>
      <c r="G348" s="906"/>
      <c r="H348" s="720"/>
      <c r="I348" s="720"/>
      <c r="J348" s="720"/>
      <c r="K348" s="907"/>
      <c r="L348" s="720"/>
      <c r="M348" s="720"/>
      <c r="N348" s="720"/>
      <c r="O348" s="720"/>
      <c r="P348" s="720"/>
      <c r="Q348" s="720"/>
      <c r="R348" s="720"/>
      <c r="S348" s="720"/>
      <c r="T348" s="720"/>
      <c r="U348" s="720"/>
      <c r="V348" s="720"/>
      <c r="W348" s="720"/>
      <c r="X348" s="720"/>
      <c r="Y348" s="720"/>
      <c r="Z348" s="720"/>
      <c r="AA348" s="720"/>
      <c r="AB348" s="720"/>
    </row>
    <row r="349" spans="1:28" ht="12.75" customHeight="1">
      <c r="A349" s="902"/>
      <c r="B349" s="903"/>
      <c r="C349" s="720"/>
      <c r="D349" s="720"/>
      <c r="E349" s="720"/>
      <c r="F349" s="720"/>
      <c r="G349" s="906"/>
      <c r="H349" s="720"/>
      <c r="I349" s="720"/>
      <c r="J349" s="720"/>
      <c r="K349" s="907"/>
      <c r="L349" s="720"/>
      <c r="M349" s="720"/>
      <c r="N349" s="720"/>
      <c r="O349" s="720"/>
      <c r="P349" s="720"/>
      <c r="Q349" s="720"/>
      <c r="R349" s="720"/>
      <c r="S349" s="720"/>
      <c r="T349" s="720"/>
      <c r="U349" s="720"/>
      <c r="V349" s="720"/>
      <c r="W349" s="720"/>
      <c r="X349" s="720"/>
      <c r="Y349" s="720"/>
      <c r="Z349" s="720"/>
      <c r="AA349" s="720"/>
      <c r="AB349" s="720"/>
    </row>
    <row r="350" spans="1:28" ht="12.75" customHeight="1">
      <c r="A350" s="902"/>
      <c r="B350" s="903"/>
      <c r="C350" s="720"/>
      <c r="D350" s="720"/>
      <c r="E350" s="720"/>
      <c r="F350" s="720"/>
      <c r="G350" s="906"/>
      <c r="H350" s="720"/>
      <c r="I350" s="720"/>
      <c r="J350" s="720"/>
      <c r="K350" s="907"/>
      <c r="L350" s="720"/>
      <c r="M350" s="720"/>
      <c r="N350" s="720"/>
      <c r="O350" s="720"/>
      <c r="P350" s="720"/>
      <c r="Q350" s="720"/>
      <c r="R350" s="720"/>
      <c r="S350" s="720"/>
      <c r="T350" s="720"/>
      <c r="U350" s="720"/>
      <c r="V350" s="720"/>
      <c r="W350" s="720"/>
      <c r="X350" s="720"/>
      <c r="Y350" s="720"/>
      <c r="Z350" s="720"/>
      <c r="AA350" s="720"/>
      <c r="AB350" s="720"/>
    </row>
    <row r="351" spans="1:28" ht="12.75" customHeight="1">
      <c r="A351" s="902"/>
      <c r="B351" s="903"/>
      <c r="C351" s="720"/>
      <c r="D351" s="720"/>
      <c r="E351" s="720"/>
      <c r="F351" s="720"/>
      <c r="G351" s="906"/>
      <c r="H351" s="720"/>
      <c r="I351" s="720"/>
      <c r="J351" s="720"/>
      <c r="K351" s="907"/>
      <c r="L351" s="720"/>
      <c r="M351" s="720"/>
      <c r="N351" s="720"/>
      <c r="O351" s="720"/>
      <c r="P351" s="720"/>
      <c r="Q351" s="720"/>
      <c r="R351" s="720"/>
      <c r="S351" s="720"/>
      <c r="T351" s="720"/>
      <c r="U351" s="720"/>
      <c r="V351" s="720"/>
      <c r="W351" s="720"/>
      <c r="X351" s="720"/>
      <c r="Y351" s="720"/>
      <c r="Z351" s="720"/>
      <c r="AA351" s="720"/>
      <c r="AB351" s="720"/>
    </row>
    <row r="352" spans="1:28" ht="12.75" customHeight="1">
      <c r="A352" s="902"/>
      <c r="B352" s="903"/>
      <c r="C352" s="720"/>
      <c r="D352" s="720"/>
      <c r="E352" s="720"/>
      <c r="F352" s="720"/>
      <c r="G352" s="906"/>
      <c r="H352" s="720"/>
      <c r="I352" s="720"/>
      <c r="J352" s="720"/>
      <c r="K352" s="907"/>
      <c r="L352" s="720"/>
      <c r="M352" s="720"/>
      <c r="N352" s="720"/>
      <c r="O352" s="720"/>
      <c r="P352" s="720"/>
      <c r="Q352" s="720"/>
      <c r="R352" s="720"/>
      <c r="S352" s="720"/>
      <c r="T352" s="720"/>
      <c r="U352" s="720"/>
      <c r="V352" s="720"/>
      <c r="W352" s="720"/>
      <c r="X352" s="720"/>
      <c r="Y352" s="720"/>
      <c r="Z352" s="720"/>
      <c r="AA352" s="720"/>
      <c r="AB352" s="720"/>
    </row>
    <row r="353" spans="1:28" ht="12.75" customHeight="1">
      <c r="A353" s="902"/>
      <c r="B353" s="903"/>
      <c r="C353" s="720"/>
      <c r="D353" s="720"/>
      <c r="E353" s="720"/>
      <c r="F353" s="720"/>
      <c r="G353" s="906"/>
      <c r="H353" s="720"/>
      <c r="I353" s="720"/>
      <c r="J353" s="720"/>
      <c r="K353" s="907"/>
      <c r="L353" s="720"/>
      <c r="M353" s="720"/>
      <c r="N353" s="720"/>
      <c r="O353" s="720"/>
      <c r="P353" s="720"/>
      <c r="Q353" s="720"/>
      <c r="R353" s="720"/>
      <c r="S353" s="720"/>
      <c r="T353" s="720"/>
      <c r="U353" s="720"/>
      <c r="V353" s="720"/>
      <c r="W353" s="720"/>
      <c r="X353" s="720"/>
      <c r="Y353" s="720"/>
      <c r="Z353" s="720"/>
      <c r="AA353" s="720"/>
      <c r="AB353" s="720"/>
    </row>
    <row r="354" spans="1:28" ht="12.75" customHeight="1">
      <c r="A354" s="902"/>
      <c r="B354" s="903"/>
      <c r="C354" s="720"/>
      <c r="D354" s="720"/>
      <c r="E354" s="720"/>
      <c r="F354" s="720"/>
      <c r="G354" s="906"/>
      <c r="H354" s="720"/>
      <c r="I354" s="720"/>
      <c r="J354" s="720"/>
      <c r="K354" s="907"/>
      <c r="L354" s="720"/>
      <c r="M354" s="720"/>
      <c r="N354" s="720"/>
      <c r="O354" s="720"/>
      <c r="P354" s="720"/>
      <c r="Q354" s="720"/>
      <c r="R354" s="720"/>
      <c r="S354" s="720"/>
      <c r="T354" s="720"/>
      <c r="U354" s="720"/>
      <c r="V354" s="720"/>
      <c r="W354" s="720"/>
      <c r="X354" s="720"/>
      <c r="Y354" s="720"/>
      <c r="Z354" s="720"/>
      <c r="AA354" s="720"/>
      <c r="AB354" s="720"/>
    </row>
    <row r="355" spans="1:28" ht="12.75" customHeight="1">
      <c r="A355" s="902"/>
      <c r="B355" s="903"/>
      <c r="C355" s="720"/>
      <c r="D355" s="720"/>
      <c r="E355" s="720"/>
      <c r="F355" s="720"/>
      <c r="G355" s="906"/>
      <c r="H355" s="720"/>
      <c r="I355" s="720"/>
      <c r="J355" s="720"/>
      <c r="K355" s="907"/>
      <c r="L355" s="720"/>
      <c r="M355" s="720"/>
      <c r="N355" s="720"/>
      <c r="O355" s="720"/>
      <c r="P355" s="720"/>
      <c r="Q355" s="720"/>
      <c r="R355" s="720"/>
      <c r="S355" s="720"/>
      <c r="T355" s="720"/>
      <c r="U355" s="720"/>
      <c r="V355" s="720"/>
      <c r="W355" s="720"/>
      <c r="X355" s="720"/>
      <c r="Y355" s="720"/>
      <c r="Z355" s="720"/>
      <c r="AA355" s="720"/>
      <c r="AB355" s="720"/>
    </row>
    <row r="356" spans="1:28" ht="12.75" customHeight="1">
      <c r="A356" s="902"/>
      <c r="B356" s="903"/>
      <c r="C356" s="720"/>
      <c r="D356" s="720"/>
      <c r="E356" s="720"/>
      <c r="F356" s="720"/>
      <c r="G356" s="906"/>
      <c r="H356" s="720"/>
      <c r="I356" s="720"/>
      <c r="J356" s="720"/>
      <c r="K356" s="907"/>
      <c r="L356" s="720"/>
      <c r="M356" s="720"/>
      <c r="N356" s="720"/>
      <c r="O356" s="720"/>
      <c r="P356" s="720"/>
      <c r="Q356" s="720"/>
      <c r="R356" s="720"/>
      <c r="S356" s="720"/>
      <c r="T356" s="720"/>
      <c r="U356" s="720"/>
      <c r="V356" s="720"/>
      <c r="W356" s="720"/>
      <c r="X356" s="720"/>
      <c r="Y356" s="720"/>
      <c r="Z356" s="720"/>
      <c r="AA356" s="720"/>
      <c r="AB356" s="720"/>
    </row>
    <row r="357" spans="1:28" ht="12.75" customHeight="1">
      <c r="A357" s="902"/>
      <c r="B357" s="903"/>
      <c r="C357" s="720"/>
      <c r="D357" s="720"/>
      <c r="E357" s="720"/>
      <c r="F357" s="720"/>
      <c r="G357" s="906"/>
      <c r="H357" s="720"/>
      <c r="I357" s="720"/>
      <c r="J357" s="720"/>
      <c r="K357" s="907"/>
      <c r="L357" s="720"/>
      <c r="M357" s="720"/>
      <c r="N357" s="720"/>
      <c r="O357" s="720"/>
      <c r="P357" s="720"/>
      <c r="Q357" s="720"/>
      <c r="R357" s="720"/>
      <c r="S357" s="720"/>
      <c r="T357" s="720"/>
      <c r="U357" s="720"/>
      <c r="V357" s="720"/>
      <c r="W357" s="720"/>
      <c r="X357" s="720"/>
      <c r="Y357" s="720"/>
      <c r="Z357" s="720"/>
      <c r="AA357" s="720"/>
      <c r="AB357" s="720"/>
    </row>
    <row r="358" spans="1:28" ht="12.75" customHeight="1">
      <c r="A358" s="902"/>
      <c r="B358" s="903"/>
      <c r="C358" s="720"/>
      <c r="D358" s="720"/>
      <c r="E358" s="720"/>
      <c r="F358" s="720"/>
      <c r="G358" s="906"/>
      <c r="H358" s="720"/>
      <c r="I358" s="720"/>
      <c r="J358" s="720"/>
      <c r="K358" s="907"/>
      <c r="L358" s="720"/>
      <c r="M358" s="720"/>
      <c r="N358" s="720"/>
      <c r="O358" s="720"/>
      <c r="P358" s="720"/>
      <c r="Q358" s="720"/>
      <c r="R358" s="720"/>
      <c r="S358" s="720"/>
      <c r="T358" s="720"/>
      <c r="U358" s="720"/>
      <c r="V358" s="720"/>
      <c r="W358" s="720"/>
      <c r="X358" s="720"/>
      <c r="Y358" s="720"/>
      <c r="Z358" s="720"/>
      <c r="AA358" s="720"/>
      <c r="AB358" s="720"/>
    </row>
    <row r="359" spans="1:28" ht="12.75" customHeight="1">
      <c r="A359" s="902"/>
      <c r="B359" s="903"/>
      <c r="C359" s="720"/>
      <c r="D359" s="720"/>
      <c r="E359" s="720"/>
      <c r="F359" s="720"/>
      <c r="G359" s="906"/>
      <c r="H359" s="720"/>
      <c r="I359" s="720"/>
      <c r="J359" s="720"/>
      <c r="K359" s="907"/>
      <c r="L359" s="720"/>
      <c r="M359" s="720"/>
      <c r="N359" s="720"/>
      <c r="O359" s="720"/>
      <c r="P359" s="720"/>
      <c r="Q359" s="720"/>
      <c r="R359" s="720"/>
      <c r="S359" s="720"/>
      <c r="T359" s="720"/>
      <c r="U359" s="720"/>
      <c r="V359" s="720"/>
      <c r="W359" s="720"/>
      <c r="X359" s="720"/>
      <c r="Y359" s="720"/>
      <c r="Z359" s="720"/>
      <c r="AA359" s="720"/>
      <c r="AB359" s="720"/>
    </row>
    <row r="360" spans="1:28" ht="12.75" customHeight="1">
      <c r="A360" s="902"/>
      <c r="B360" s="903"/>
      <c r="C360" s="720"/>
      <c r="D360" s="720"/>
      <c r="E360" s="720"/>
      <c r="F360" s="720"/>
      <c r="G360" s="906"/>
      <c r="H360" s="720"/>
      <c r="I360" s="720"/>
      <c r="J360" s="720"/>
      <c r="K360" s="907"/>
      <c r="L360" s="720"/>
      <c r="M360" s="720"/>
      <c r="N360" s="720"/>
      <c r="O360" s="720"/>
      <c r="P360" s="720"/>
      <c r="Q360" s="720"/>
      <c r="R360" s="720"/>
      <c r="S360" s="720"/>
      <c r="T360" s="720"/>
      <c r="U360" s="720"/>
      <c r="V360" s="720"/>
      <c r="W360" s="720"/>
      <c r="X360" s="720"/>
      <c r="Y360" s="720"/>
      <c r="Z360" s="720"/>
      <c r="AA360" s="720"/>
      <c r="AB360" s="720"/>
    </row>
    <row r="361" spans="1:28" ht="12.75" customHeight="1">
      <c r="A361" s="902"/>
      <c r="B361" s="903"/>
      <c r="C361" s="720"/>
      <c r="D361" s="720"/>
      <c r="E361" s="720"/>
      <c r="F361" s="720"/>
      <c r="G361" s="906"/>
      <c r="H361" s="720"/>
      <c r="I361" s="720"/>
      <c r="J361" s="720"/>
      <c r="K361" s="907"/>
      <c r="L361" s="720"/>
      <c r="M361" s="720"/>
      <c r="N361" s="720"/>
      <c r="O361" s="720"/>
      <c r="P361" s="720"/>
      <c r="Q361" s="720"/>
      <c r="R361" s="720"/>
      <c r="S361" s="720"/>
      <c r="T361" s="720"/>
      <c r="U361" s="720"/>
      <c r="V361" s="720"/>
      <c r="W361" s="720"/>
      <c r="X361" s="720"/>
      <c r="Y361" s="720"/>
      <c r="Z361" s="720"/>
      <c r="AA361" s="720"/>
      <c r="AB361" s="720"/>
    </row>
    <row r="362" spans="1:28" ht="12.75" customHeight="1">
      <c r="A362" s="902"/>
      <c r="B362" s="903"/>
      <c r="C362" s="720"/>
      <c r="D362" s="720"/>
      <c r="E362" s="720"/>
      <c r="F362" s="720"/>
      <c r="G362" s="906"/>
      <c r="H362" s="720"/>
      <c r="I362" s="720"/>
      <c r="J362" s="720"/>
      <c r="K362" s="907"/>
      <c r="L362" s="720"/>
      <c r="M362" s="720"/>
      <c r="N362" s="720"/>
      <c r="O362" s="720"/>
      <c r="P362" s="720"/>
      <c r="Q362" s="720"/>
      <c r="R362" s="720"/>
      <c r="S362" s="720"/>
      <c r="T362" s="720"/>
      <c r="U362" s="720"/>
      <c r="V362" s="720"/>
      <c r="W362" s="720"/>
      <c r="X362" s="720"/>
      <c r="Y362" s="720"/>
      <c r="Z362" s="720"/>
      <c r="AA362" s="720"/>
      <c r="AB362" s="720"/>
    </row>
    <row r="363" spans="1:28" ht="12.75" customHeight="1">
      <c r="A363" s="902"/>
      <c r="B363" s="903"/>
      <c r="C363" s="720"/>
      <c r="D363" s="720"/>
      <c r="E363" s="720"/>
      <c r="F363" s="720"/>
      <c r="G363" s="906"/>
      <c r="H363" s="720"/>
      <c r="I363" s="720"/>
      <c r="J363" s="720"/>
      <c r="K363" s="907"/>
      <c r="L363" s="720"/>
      <c r="M363" s="720"/>
      <c r="N363" s="720"/>
      <c r="O363" s="720"/>
      <c r="P363" s="720"/>
      <c r="Q363" s="720"/>
      <c r="R363" s="720"/>
      <c r="S363" s="720"/>
      <c r="T363" s="720"/>
      <c r="U363" s="720"/>
      <c r="V363" s="720"/>
      <c r="W363" s="720"/>
      <c r="X363" s="720"/>
      <c r="Y363" s="720"/>
      <c r="Z363" s="720"/>
      <c r="AA363" s="720"/>
      <c r="AB363" s="720"/>
    </row>
    <row r="364" spans="1:28" ht="12.75" customHeight="1">
      <c r="A364" s="902"/>
      <c r="B364" s="903"/>
      <c r="C364" s="720"/>
      <c r="D364" s="720"/>
      <c r="E364" s="720"/>
      <c r="F364" s="720"/>
      <c r="G364" s="906"/>
      <c r="H364" s="720"/>
      <c r="I364" s="720"/>
      <c r="J364" s="720"/>
      <c r="K364" s="907"/>
      <c r="L364" s="720"/>
      <c r="M364" s="720"/>
      <c r="N364" s="720"/>
      <c r="O364" s="720"/>
      <c r="P364" s="720"/>
      <c r="Q364" s="720"/>
      <c r="R364" s="720"/>
      <c r="S364" s="720"/>
      <c r="T364" s="720"/>
      <c r="U364" s="720"/>
      <c r="V364" s="720"/>
      <c r="W364" s="720"/>
      <c r="X364" s="720"/>
      <c r="Y364" s="720"/>
      <c r="Z364" s="720"/>
      <c r="AA364" s="720"/>
      <c r="AB364" s="720"/>
    </row>
    <row r="365" spans="1:28" ht="12.75" customHeight="1">
      <c r="A365" s="902"/>
      <c r="B365" s="903"/>
      <c r="C365" s="720"/>
      <c r="D365" s="720"/>
      <c r="E365" s="720"/>
      <c r="F365" s="720"/>
      <c r="G365" s="906"/>
      <c r="H365" s="720"/>
      <c r="I365" s="720"/>
      <c r="J365" s="720"/>
      <c r="K365" s="907"/>
      <c r="L365" s="720"/>
      <c r="M365" s="720"/>
      <c r="N365" s="720"/>
      <c r="O365" s="720"/>
      <c r="P365" s="720"/>
      <c r="Q365" s="720"/>
      <c r="R365" s="720"/>
      <c r="S365" s="720"/>
      <c r="T365" s="720"/>
      <c r="U365" s="720"/>
      <c r="V365" s="720"/>
      <c r="W365" s="720"/>
      <c r="X365" s="720"/>
      <c r="Y365" s="720"/>
      <c r="Z365" s="720"/>
      <c r="AA365" s="720"/>
      <c r="AB365" s="720"/>
    </row>
    <row r="366" spans="1:28" ht="12.75" customHeight="1">
      <c r="A366" s="902"/>
      <c r="B366" s="903"/>
      <c r="C366" s="720"/>
      <c r="D366" s="720"/>
      <c r="E366" s="720"/>
      <c r="F366" s="720"/>
      <c r="G366" s="906"/>
      <c r="H366" s="720"/>
      <c r="I366" s="720"/>
      <c r="J366" s="720"/>
      <c r="K366" s="907"/>
      <c r="L366" s="720"/>
      <c r="M366" s="720"/>
      <c r="N366" s="720"/>
      <c r="O366" s="720"/>
      <c r="P366" s="720"/>
      <c r="Q366" s="720"/>
      <c r="R366" s="720"/>
      <c r="S366" s="720"/>
      <c r="T366" s="720"/>
      <c r="U366" s="720"/>
      <c r="V366" s="720"/>
      <c r="W366" s="720"/>
      <c r="X366" s="720"/>
      <c r="Y366" s="720"/>
      <c r="Z366" s="720"/>
      <c r="AA366" s="720"/>
      <c r="AB366" s="720"/>
    </row>
    <row r="367" spans="1:28" ht="12.75" customHeight="1">
      <c r="A367" s="902"/>
      <c r="B367" s="903"/>
      <c r="C367" s="720"/>
      <c r="D367" s="720"/>
      <c r="E367" s="720"/>
      <c r="F367" s="720"/>
      <c r="G367" s="906"/>
      <c r="H367" s="720"/>
      <c r="I367" s="720"/>
      <c r="J367" s="720"/>
      <c r="K367" s="907"/>
      <c r="L367" s="720"/>
      <c r="M367" s="720"/>
      <c r="N367" s="720"/>
      <c r="O367" s="720"/>
      <c r="P367" s="720"/>
      <c r="Q367" s="720"/>
      <c r="R367" s="720"/>
      <c r="S367" s="720"/>
      <c r="T367" s="720"/>
      <c r="U367" s="720"/>
      <c r="V367" s="720"/>
      <c r="W367" s="720"/>
      <c r="X367" s="720"/>
      <c r="Y367" s="720"/>
      <c r="Z367" s="720"/>
      <c r="AA367" s="720"/>
      <c r="AB367" s="720"/>
    </row>
    <row r="368" spans="1:28" ht="12.75" customHeight="1">
      <c r="A368" s="902"/>
      <c r="B368" s="903"/>
      <c r="C368" s="720"/>
      <c r="D368" s="720"/>
      <c r="E368" s="720"/>
      <c r="F368" s="720"/>
      <c r="G368" s="906"/>
      <c r="H368" s="720"/>
      <c r="I368" s="720"/>
      <c r="J368" s="720"/>
      <c r="K368" s="907"/>
      <c r="L368" s="720"/>
      <c r="M368" s="720"/>
      <c r="N368" s="720"/>
      <c r="O368" s="720"/>
      <c r="P368" s="720"/>
      <c r="Q368" s="720"/>
      <c r="R368" s="720"/>
      <c r="S368" s="720"/>
      <c r="T368" s="720"/>
      <c r="U368" s="720"/>
      <c r="V368" s="720"/>
      <c r="W368" s="720"/>
      <c r="X368" s="720"/>
      <c r="Y368" s="720"/>
      <c r="Z368" s="720"/>
      <c r="AA368" s="720"/>
      <c r="AB368" s="720"/>
    </row>
    <row r="369" spans="1:28" ht="12.75" customHeight="1">
      <c r="A369" s="902"/>
      <c r="B369" s="903"/>
      <c r="C369" s="720"/>
      <c r="D369" s="720"/>
      <c r="E369" s="720"/>
      <c r="F369" s="720"/>
      <c r="G369" s="906"/>
      <c r="H369" s="720"/>
      <c r="I369" s="720"/>
      <c r="J369" s="720"/>
      <c r="K369" s="907"/>
      <c r="L369" s="720"/>
      <c r="M369" s="720"/>
      <c r="N369" s="720"/>
      <c r="O369" s="720"/>
      <c r="P369" s="720"/>
      <c r="Q369" s="720"/>
      <c r="R369" s="720"/>
      <c r="S369" s="720"/>
      <c r="T369" s="720"/>
      <c r="U369" s="720"/>
      <c r="V369" s="720"/>
      <c r="W369" s="720"/>
      <c r="X369" s="720"/>
      <c r="Y369" s="720"/>
      <c r="Z369" s="720"/>
      <c r="AA369" s="720"/>
      <c r="AB369" s="720"/>
    </row>
    <row r="370" spans="1:28" ht="12.75" customHeight="1">
      <c r="A370" s="902"/>
      <c r="B370" s="903"/>
      <c r="C370" s="720"/>
      <c r="D370" s="720"/>
      <c r="E370" s="720"/>
      <c r="F370" s="720"/>
      <c r="G370" s="906"/>
      <c r="H370" s="720"/>
      <c r="I370" s="720"/>
      <c r="J370" s="720"/>
      <c r="K370" s="907"/>
      <c r="L370" s="720"/>
      <c r="M370" s="720"/>
      <c r="N370" s="720"/>
      <c r="O370" s="720"/>
      <c r="P370" s="720"/>
      <c r="Q370" s="720"/>
      <c r="R370" s="720"/>
      <c r="S370" s="720"/>
      <c r="T370" s="720"/>
      <c r="U370" s="720"/>
      <c r="V370" s="720"/>
      <c r="W370" s="720"/>
      <c r="X370" s="720"/>
      <c r="Y370" s="720"/>
      <c r="Z370" s="720"/>
      <c r="AA370" s="720"/>
      <c r="AB370" s="720"/>
    </row>
    <row r="371" spans="1:28" ht="12.75" customHeight="1">
      <c r="A371" s="902"/>
      <c r="B371" s="903"/>
      <c r="C371" s="720"/>
      <c r="D371" s="720"/>
      <c r="E371" s="720"/>
      <c r="F371" s="720"/>
      <c r="G371" s="906"/>
      <c r="H371" s="720"/>
      <c r="I371" s="720"/>
      <c r="J371" s="720"/>
      <c r="K371" s="907"/>
      <c r="L371" s="720"/>
      <c r="M371" s="720"/>
      <c r="N371" s="720"/>
      <c r="O371" s="720"/>
      <c r="P371" s="720"/>
      <c r="Q371" s="720"/>
      <c r="R371" s="720"/>
      <c r="S371" s="720"/>
      <c r="T371" s="720"/>
      <c r="U371" s="720"/>
      <c r="V371" s="720"/>
      <c r="W371" s="720"/>
      <c r="X371" s="720"/>
      <c r="Y371" s="720"/>
      <c r="Z371" s="720"/>
      <c r="AA371" s="720"/>
      <c r="AB371" s="720"/>
    </row>
    <row r="372" spans="1:28" ht="12.75" customHeight="1">
      <c r="A372" s="902"/>
      <c r="B372" s="903"/>
      <c r="C372" s="720"/>
      <c r="D372" s="720"/>
      <c r="E372" s="720"/>
      <c r="F372" s="720"/>
      <c r="G372" s="906"/>
      <c r="H372" s="720"/>
      <c r="I372" s="720"/>
      <c r="J372" s="720"/>
      <c r="K372" s="907"/>
      <c r="L372" s="720"/>
      <c r="M372" s="720"/>
      <c r="N372" s="720"/>
      <c r="O372" s="720"/>
      <c r="P372" s="720"/>
      <c r="Q372" s="720"/>
      <c r="R372" s="720"/>
      <c r="S372" s="720"/>
      <c r="T372" s="720"/>
      <c r="U372" s="720"/>
      <c r="V372" s="720"/>
      <c r="W372" s="720"/>
      <c r="X372" s="720"/>
      <c r="Y372" s="720"/>
      <c r="Z372" s="720"/>
      <c r="AA372" s="720"/>
      <c r="AB372" s="720"/>
    </row>
    <row r="373" spans="1:28" ht="12.75" customHeight="1">
      <c r="A373" s="902"/>
      <c r="B373" s="903"/>
      <c r="C373" s="720"/>
      <c r="D373" s="720"/>
      <c r="E373" s="720"/>
      <c r="F373" s="720"/>
      <c r="G373" s="906"/>
      <c r="H373" s="720"/>
      <c r="I373" s="720"/>
      <c r="J373" s="720"/>
      <c r="K373" s="907"/>
      <c r="L373" s="720"/>
      <c r="M373" s="720"/>
      <c r="N373" s="720"/>
      <c r="O373" s="720"/>
      <c r="P373" s="720"/>
      <c r="Q373" s="720"/>
      <c r="R373" s="720"/>
      <c r="S373" s="720"/>
      <c r="T373" s="720"/>
      <c r="U373" s="720"/>
      <c r="V373" s="720"/>
      <c r="W373" s="720"/>
      <c r="X373" s="720"/>
      <c r="Y373" s="720"/>
      <c r="Z373" s="720"/>
      <c r="AA373" s="720"/>
      <c r="AB373" s="720"/>
    </row>
    <row r="374" spans="1:28" ht="12.75" customHeight="1">
      <c r="A374" s="902"/>
      <c r="B374" s="903"/>
      <c r="C374" s="720"/>
      <c r="D374" s="720"/>
      <c r="E374" s="720"/>
      <c r="F374" s="720"/>
      <c r="G374" s="906"/>
      <c r="H374" s="720"/>
      <c r="I374" s="720"/>
      <c r="J374" s="720"/>
      <c r="K374" s="907"/>
      <c r="L374" s="720"/>
      <c r="M374" s="720"/>
      <c r="N374" s="720"/>
      <c r="O374" s="720"/>
      <c r="P374" s="720"/>
      <c r="Q374" s="720"/>
      <c r="R374" s="720"/>
      <c r="S374" s="720"/>
      <c r="T374" s="720"/>
      <c r="U374" s="720"/>
      <c r="V374" s="720"/>
      <c r="W374" s="720"/>
      <c r="X374" s="720"/>
      <c r="Y374" s="720"/>
      <c r="Z374" s="720"/>
      <c r="AA374" s="720"/>
      <c r="AB374" s="720"/>
    </row>
    <row r="375" spans="1:28" ht="12.75" customHeight="1">
      <c r="A375" s="902"/>
      <c r="B375" s="903"/>
      <c r="C375" s="720"/>
      <c r="D375" s="720"/>
      <c r="E375" s="720"/>
      <c r="F375" s="720"/>
      <c r="G375" s="906"/>
      <c r="H375" s="720"/>
      <c r="I375" s="720"/>
      <c r="J375" s="720"/>
      <c r="K375" s="907"/>
      <c r="L375" s="720"/>
      <c r="M375" s="720"/>
      <c r="N375" s="720"/>
      <c r="O375" s="720"/>
      <c r="P375" s="720"/>
      <c r="Q375" s="720"/>
      <c r="R375" s="720"/>
      <c r="S375" s="720"/>
      <c r="T375" s="720"/>
      <c r="U375" s="720"/>
      <c r="V375" s="720"/>
      <c r="W375" s="720"/>
      <c r="X375" s="720"/>
      <c r="Y375" s="720"/>
      <c r="Z375" s="720"/>
      <c r="AA375" s="720"/>
      <c r="AB375" s="720"/>
    </row>
    <row r="376" spans="1:28" ht="12.75" customHeight="1">
      <c r="A376" s="902"/>
      <c r="B376" s="903"/>
      <c r="C376" s="720"/>
      <c r="D376" s="720"/>
      <c r="E376" s="720"/>
      <c r="F376" s="720"/>
      <c r="G376" s="906"/>
      <c r="H376" s="720"/>
      <c r="I376" s="720"/>
      <c r="J376" s="720"/>
      <c r="K376" s="907"/>
      <c r="L376" s="720"/>
      <c r="M376" s="720"/>
      <c r="N376" s="720"/>
      <c r="O376" s="720"/>
      <c r="P376" s="720"/>
      <c r="Q376" s="720"/>
      <c r="R376" s="720"/>
      <c r="S376" s="720"/>
      <c r="T376" s="720"/>
      <c r="U376" s="720"/>
      <c r="V376" s="720"/>
      <c r="W376" s="720"/>
      <c r="X376" s="720"/>
      <c r="Y376" s="720"/>
      <c r="Z376" s="720"/>
      <c r="AA376" s="720"/>
      <c r="AB376" s="720"/>
    </row>
    <row r="377" spans="1:28" ht="12.75" customHeight="1">
      <c r="A377" s="902"/>
      <c r="B377" s="903"/>
      <c r="C377" s="720"/>
      <c r="D377" s="720"/>
      <c r="E377" s="720"/>
      <c r="F377" s="720"/>
      <c r="G377" s="906"/>
      <c r="H377" s="720"/>
      <c r="I377" s="720"/>
      <c r="J377" s="720"/>
      <c r="K377" s="907"/>
      <c r="L377" s="720"/>
      <c r="M377" s="720"/>
      <c r="N377" s="720"/>
      <c r="O377" s="720"/>
      <c r="P377" s="720"/>
      <c r="Q377" s="720"/>
      <c r="R377" s="720"/>
      <c r="S377" s="720"/>
      <c r="T377" s="720"/>
      <c r="U377" s="720"/>
      <c r="V377" s="720"/>
      <c r="W377" s="720"/>
      <c r="X377" s="720"/>
      <c r="Y377" s="720"/>
      <c r="Z377" s="720"/>
      <c r="AA377" s="720"/>
      <c r="AB377" s="720"/>
    </row>
    <row r="378" spans="1:28" ht="12.75" customHeight="1">
      <c r="A378" s="902"/>
      <c r="B378" s="903"/>
      <c r="C378" s="720"/>
      <c r="D378" s="720"/>
      <c r="E378" s="720"/>
      <c r="F378" s="720"/>
      <c r="G378" s="906"/>
      <c r="H378" s="720"/>
      <c r="I378" s="720"/>
      <c r="J378" s="720"/>
      <c r="K378" s="907"/>
      <c r="L378" s="720"/>
      <c r="M378" s="720"/>
      <c r="N378" s="720"/>
      <c r="O378" s="720"/>
      <c r="P378" s="720"/>
      <c r="Q378" s="720"/>
      <c r="R378" s="720"/>
      <c r="S378" s="720"/>
      <c r="T378" s="720"/>
      <c r="U378" s="720"/>
      <c r="V378" s="720"/>
      <c r="W378" s="720"/>
      <c r="X378" s="720"/>
      <c r="Y378" s="720"/>
      <c r="Z378" s="720"/>
      <c r="AA378" s="720"/>
      <c r="AB378" s="720"/>
    </row>
    <row r="379" spans="1:28" ht="12.75" customHeight="1">
      <c r="A379" s="902"/>
      <c r="B379" s="903"/>
      <c r="C379" s="720"/>
      <c r="D379" s="720"/>
      <c r="E379" s="720"/>
      <c r="F379" s="720"/>
      <c r="G379" s="906"/>
      <c r="H379" s="720"/>
      <c r="I379" s="720"/>
      <c r="J379" s="720"/>
      <c r="K379" s="907"/>
      <c r="L379" s="720"/>
      <c r="M379" s="720"/>
      <c r="N379" s="720"/>
      <c r="O379" s="720"/>
      <c r="P379" s="720"/>
      <c r="Q379" s="720"/>
      <c r="R379" s="720"/>
      <c r="S379" s="720"/>
      <c r="T379" s="720"/>
      <c r="U379" s="720"/>
      <c r="V379" s="720"/>
      <c r="W379" s="720"/>
      <c r="X379" s="720"/>
      <c r="Y379" s="720"/>
      <c r="Z379" s="720"/>
      <c r="AA379" s="720"/>
      <c r="AB379" s="720"/>
    </row>
    <row r="380" spans="1:28" ht="12.75" customHeight="1">
      <c r="A380" s="902"/>
      <c r="B380" s="903"/>
      <c r="C380" s="720"/>
      <c r="D380" s="720"/>
      <c r="E380" s="720"/>
      <c r="F380" s="720"/>
      <c r="G380" s="906"/>
      <c r="H380" s="720"/>
      <c r="I380" s="720"/>
      <c r="J380" s="720"/>
      <c r="K380" s="907"/>
      <c r="L380" s="720"/>
      <c r="M380" s="720"/>
      <c r="N380" s="720"/>
      <c r="O380" s="720"/>
      <c r="P380" s="720"/>
      <c r="Q380" s="720"/>
      <c r="R380" s="720"/>
      <c r="S380" s="720"/>
      <c r="T380" s="720"/>
      <c r="U380" s="720"/>
      <c r="V380" s="720"/>
      <c r="W380" s="720"/>
      <c r="X380" s="720"/>
      <c r="Y380" s="720"/>
      <c r="Z380" s="720"/>
      <c r="AA380" s="720"/>
      <c r="AB380" s="720"/>
    </row>
    <row r="381" spans="1:28" ht="12.75" customHeight="1">
      <c r="A381" s="902"/>
      <c r="B381" s="903"/>
      <c r="C381" s="720"/>
      <c r="D381" s="720"/>
      <c r="E381" s="720"/>
      <c r="F381" s="720"/>
      <c r="G381" s="906"/>
      <c r="H381" s="720"/>
      <c r="I381" s="720"/>
      <c r="J381" s="720"/>
      <c r="K381" s="907"/>
      <c r="L381" s="720"/>
      <c r="M381" s="720"/>
      <c r="N381" s="720"/>
      <c r="O381" s="720"/>
      <c r="P381" s="720"/>
      <c r="Q381" s="720"/>
      <c r="R381" s="720"/>
      <c r="S381" s="720"/>
      <c r="T381" s="720"/>
      <c r="U381" s="720"/>
      <c r="V381" s="720"/>
      <c r="W381" s="720"/>
      <c r="X381" s="720"/>
      <c r="Y381" s="720"/>
      <c r="Z381" s="720"/>
      <c r="AA381" s="720"/>
      <c r="AB381" s="720"/>
    </row>
    <row r="382" spans="1:28" ht="12.75" customHeight="1">
      <c r="A382" s="902"/>
      <c r="B382" s="903"/>
      <c r="C382" s="720"/>
      <c r="D382" s="720"/>
      <c r="E382" s="720"/>
      <c r="F382" s="720"/>
      <c r="G382" s="906"/>
      <c r="H382" s="720"/>
      <c r="I382" s="720"/>
      <c r="J382" s="720"/>
      <c r="K382" s="907"/>
      <c r="L382" s="720"/>
      <c r="M382" s="720"/>
      <c r="N382" s="720"/>
      <c r="O382" s="720"/>
      <c r="P382" s="720"/>
      <c r="Q382" s="720"/>
      <c r="R382" s="720"/>
      <c r="S382" s="720"/>
      <c r="T382" s="720"/>
      <c r="U382" s="720"/>
      <c r="V382" s="720"/>
      <c r="W382" s="720"/>
      <c r="X382" s="720"/>
      <c r="Y382" s="720"/>
      <c r="Z382" s="720"/>
      <c r="AA382" s="720"/>
      <c r="AB382" s="720"/>
    </row>
    <row r="383" spans="1:28" ht="12.75" customHeight="1">
      <c r="A383" s="902"/>
      <c r="B383" s="903"/>
      <c r="C383" s="720"/>
      <c r="D383" s="720"/>
      <c r="E383" s="720"/>
      <c r="F383" s="720"/>
      <c r="G383" s="906"/>
      <c r="H383" s="720"/>
      <c r="I383" s="720"/>
      <c r="J383" s="720"/>
      <c r="K383" s="907"/>
      <c r="L383" s="720"/>
      <c r="M383" s="720"/>
      <c r="N383" s="720"/>
      <c r="O383" s="720"/>
      <c r="P383" s="720"/>
      <c r="Q383" s="720"/>
      <c r="R383" s="720"/>
      <c r="S383" s="720"/>
      <c r="T383" s="720"/>
      <c r="U383" s="720"/>
      <c r="V383" s="720"/>
      <c r="W383" s="720"/>
      <c r="X383" s="720"/>
      <c r="Y383" s="720"/>
      <c r="Z383" s="720"/>
      <c r="AA383" s="720"/>
      <c r="AB383" s="720"/>
    </row>
    <row r="384" spans="1:28" ht="12.75" customHeight="1">
      <c r="A384" s="902"/>
      <c r="B384" s="903"/>
      <c r="C384" s="720"/>
      <c r="D384" s="720"/>
      <c r="E384" s="720"/>
      <c r="F384" s="720"/>
      <c r="G384" s="906"/>
      <c r="H384" s="720"/>
      <c r="I384" s="720"/>
      <c r="J384" s="720"/>
      <c r="K384" s="907"/>
      <c r="L384" s="720"/>
      <c r="M384" s="720"/>
      <c r="N384" s="720"/>
      <c r="O384" s="720"/>
      <c r="P384" s="720"/>
      <c r="Q384" s="720"/>
      <c r="R384" s="720"/>
      <c r="S384" s="720"/>
      <c r="T384" s="720"/>
      <c r="U384" s="720"/>
      <c r="V384" s="720"/>
      <c r="W384" s="720"/>
      <c r="X384" s="720"/>
      <c r="Y384" s="720"/>
      <c r="Z384" s="720"/>
      <c r="AA384" s="720"/>
      <c r="AB384" s="720"/>
    </row>
    <row r="385" spans="1:28" ht="12.75" customHeight="1">
      <c r="A385" s="902"/>
      <c r="B385" s="903"/>
      <c r="C385" s="720"/>
      <c r="D385" s="720"/>
      <c r="E385" s="720"/>
      <c r="F385" s="720"/>
      <c r="G385" s="906"/>
      <c r="H385" s="720"/>
      <c r="I385" s="720"/>
      <c r="J385" s="720"/>
      <c r="K385" s="907"/>
      <c r="L385" s="720"/>
      <c r="M385" s="720"/>
      <c r="N385" s="720"/>
      <c r="O385" s="720"/>
      <c r="P385" s="720"/>
      <c r="Q385" s="720"/>
      <c r="R385" s="720"/>
      <c r="S385" s="720"/>
      <c r="T385" s="720"/>
      <c r="U385" s="720"/>
      <c r="V385" s="720"/>
      <c r="W385" s="720"/>
      <c r="X385" s="720"/>
      <c r="Y385" s="720"/>
      <c r="Z385" s="720"/>
      <c r="AA385" s="720"/>
      <c r="AB385" s="720"/>
    </row>
    <row r="386" spans="1:28" ht="12.75" customHeight="1">
      <c r="A386" s="902"/>
      <c r="B386" s="903"/>
      <c r="C386" s="720"/>
      <c r="D386" s="720"/>
      <c r="E386" s="720"/>
      <c r="F386" s="720"/>
      <c r="G386" s="906"/>
      <c r="H386" s="720"/>
      <c r="I386" s="720"/>
      <c r="J386" s="720"/>
      <c r="K386" s="907"/>
      <c r="L386" s="720"/>
      <c r="M386" s="720"/>
      <c r="N386" s="720"/>
      <c r="O386" s="720"/>
      <c r="P386" s="720"/>
      <c r="Q386" s="720"/>
      <c r="R386" s="720"/>
      <c r="S386" s="720"/>
      <c r="T386" s="720"/>
      <c r="U386" s="720"/>
      <c r="V386" s="720"/>
      <c r="W386" s="720"/>
      <c r="X386" s="720"/>
      <c r="Y386" s="720"/>
      <c r="Z386" s="720"/>
      <c r="AA386" s="720"/>
      <c r="AB386" s="720"/>
    </row>
    <row r="387" spans="1:28" ht="12.75" customHeight="1">
      <c r="A387" s="902"/>
      <c r="B387" s="903"/>
      <c r="C387" s="720"/>
      <c r="D387" s="720"/>
      <c r="E387" s="720"/>
      <c r="F387" s="720"/>
      <c r="G387" s="906"/>
      <c r="H387" s="720"/>
      <c r="I387" s="720"/>
      <c r="J387" s="720"/>
      <c r="K387" s="907"/>
      <c r="L387" s="720"/>
      <c r="M387" s="720"/>
      <c r="N387" s="720"/>
      <c r="O387" s="720"/>
      <c r="P387" s="720"/>
      <c r="Q387" s="720"/>
      <c r="R387" s="720"/>
      <c r="S387" s="720"/>
      <c r="T387" s="720"/>
      <c r="U387" s="720"/>
      <c r="V387" s="720"/>
      <c r="W387" s="720"/>
      <c r="X387" s="720"/>
      <c r="Y387" s="720"/>
      <c r="Z387" s="720"/>
      <c r="AA387" s="720"/>
      <c r="AB387" s="720"/>
    </row>
    <row r="388" spans="1:28" ht="12.75" customHeight="1">
      <c r="A388" s="902"/>
      <c r="B388" s="903"/>
      <c r="C388" s="720"/>
      <c r="D388" s="720"/>
      <c r="E388" s="720"/>
      <c r="F388" s="720"/>
      <c r="G388" s="906"/>
      <c r="H388" s="720"/>
      <c r="I388" s="720"/>
      <c r="J388" s="720"/>
      <c r="K388" s="907"/>
      <c r="L388" s="720"/>
      <c r="M388" s="720"/>
      <c r="N388" s="720"/>
      <c r="O388" s="720"/>
      <c r="P388" s="720"/>
      <c r="Q388" s="720"/>
      <c r="R388" s="720"/>
      <c r="S388" s="720"/>
      <c r="T388" s="720"/>
      <c r="U388" s="720"/>
      <c r="V388" s="720"/>
      <c r="W388" s="720"/>
      <c r="X388" s="720"/>
      <c r="Y388" s="720"/>
      <c r="Z388" s="720"/>
      <c r="AA388" s="720"/>
      <c r="AB388" s="720"/>
    </row>
    <row r="389" spans="1:28" ht="12.75" customHeight="1">
      <c r="A389" s="902"/>
      <c r="B389" s="903"/>
      <c r="C389" s="720"/>
      <c r="D389" s="720"/>
      <c r="E389" s="720"/>
      <c r="F389" s="720"/>
      <c r="G389" s="906"/>
      <c r="H389" s="720"/>
      <c r="I389" s="720"/>
      <c r="J389" s="720"/>
      <c r="K389" s="907"/>
      <c r="L389" s="720"/>
      <c r="M389" s="720"/>
      <c r="N389" s="720"/>
      <c r="O389" s="720"/>
      <c r="P389" s="720"/>
      <c r="Q389" s="720"/>
      <c r="R389" s="720"/>
      <c r="S389" s="720"/>
      <c r="T389" s="720"/>
      <c r="U389" s="720"/>
      <c r="V389" s="720"/>
      <c r="W389" s="720"/>
      <c r="X389" s="720"/>
      <c r="Y389" s="720"/>
      <c r="Z389" s="720"/>
      <c r="AA389" s="720"/>
      <c r="AB389" s="720"/>
    </row>
    <row r="390" spans="1:28" ht="12.75" customHeight="1">
      <c r="A390" s="902"/>
      <c r="B390" s="903"/>
      <c r="C390" s="720"/>
      <c r="D390" s="720"/>
      <c r="E390" s="720"/>
      <c r="F390" s="720"/>
      <c r="G390" s="906"/>
      <c r="H390" s="720"/>
      <c r="I390" s="720"/>
      <c r="J390" s="720"/>
      <c r="K390" s="907"/>
      <c r="L390" s="720"/>
      <c r="M390" s="720"/>
      <c r="N390" s="720"/>
      <c r="O390" s="720"/>
      <c r="P390" s="720"/>
      <c r="Q390" s="720"/>
      <c r="R390" s="720"/>
      <c r="S390" s="720"/>
      <c r="T390" s="720"/>
      <c r="U390" s="720"/>
      <c r="V390" s="720"/>
      <c r="W390" s="720"/>
      <c r="X390" s="720"/>
      <c r="Y390" s="720"/>
      <c r="Z390" s="720"/>
      <c r="AA390" s="720"/>
      <c r="AB390" s="720"/>
    </row>
    <row r="391" spans="1:28" ht="12.75" customHeight="1">
      <c r="A391" s="902"/>
      <c r="B391" s="903"/>
      <c r="C391" s="720"/>
      <c r="D391" s="720"/>
      <c r="E391" s="720"/>
      <c r="F391" s="720"/>
      <c r="G391" s="906"/>
      <c r="H391" s="720"/>
      <c r="I391" s="720"/>
      <c r="J391" s="720"/>
      <c r="K391" s="907"/>
      <c r="L391" s="720"/>
      <c r="M391" s="720"/>
      <c r="N391" s="720"/>
      <c r="O391" s="720"/>
      <c r="P391" s="720"/>
      <c r="Q391" s="720"/>
      <c r="R391" s="720"/>
      <c r="S391" s="720"/>
      <c r="T391" s="720"/>
      <c r="U391" s="720"/>
      <c r="V391" s="720"/>
      <c r="W391" s="720"/>
      <c r="X391" s="720"/>
      <c r="Y391" s="720"/>
      <c r="Z391" s="720"/>
      <c r="AA391" s="720"/>
      <c r="AB391" s="720"/>
    </row>
    <row r="392" spans="1:28" ht="12.75" customHeight="1">
      <c r="A392" s="902"/>
      <c r="B392" s="903"/>
      <c r="C392" s="720"/>
      <c r="D392" s="720"/>
      <c r="E392" s="720"/>
      <c r="F392" s="720"/>
      <c r="G392" s="906"/>
      <c r="H392" s="720"/>
      <c r="I392" s="720"/>
      <c r="J392" s="720"/>
      <c r="K392" s="907"/>
      <c r="L392" s="720"/>
      <c r="M392" s="720"/>
      <c r="N392" s="720"/>
      <c r="O392" s="720"/>
      <c r="P392" s="720"/>
      <c r="Q392" s="720"/>
      <c r="R392" s="720"/>
      <c r="S392" s="720"/>
      <c r="T392" s="720"/>
      <c r="U392" s="720"/>
      <c r="V392" s="720"/>
      <c r="W392" s="720"/>
      <c r="X392" s="720"/>
      <c r="Y392" s="720"/>
      <c r="Z392" s="720"/>
      <c r="AA392" s="720"/>
      <c r="AB392" s="720"/>
    </row>
    <row r="393" spans="1:28" ht="12.75" customHeight="1">
      <c r="A393" s="902"/>
      <c r="B393" s="903"/>
      <c r="C393" s="720"/>
      <c r="D393" s="720"/>
      <c r="E393" s="720"/>
      <c r="F393" s="720"/>
      <c r="G393" s="906"/>
      <c r="H393" s="720"/>
      <c r="I393" s="720"/>
      <c r="J393" s="720"/>
      <c r="K393" s="907"/>
      <c r="L393" s="720"/>
      <c r="M393" s="720"/>
      <c r="N393" s="720"/>
      <c r="O393" s="720"/>
      <c r="P393" s="720"/>
      <c r="Q393" s="720"/>
      <c r="R393" s="720"/>
      <c r="S393" s="720"/>
      <c r="T393" s="720"/>
      <c r="U393" s="720"/>
      <c r="V393" s="720"/>
      <c r="W393" s="720"/>
      <c r="X393" s="720"/>
      <c r="Y393" s="720"/>
      <c r="Z393" s="720"/>
      <c r="AA393" s="720"/>
      <c r="AB393" s="720"/>
    </row>
    <row r="394" spans="1:28" ht="12.75" customHeight="1">
      <c r="A394" s="902"/>
      <c r="B394" s="903"/>
      <c r="C394" s="720"/>
      <c r="D394" s="720"/>
      <c r="E394" s="720"/>
      <c r="F394" s="720"/>
      <c r="G394" s="906"/>
      <c r="H394" s="720"/>
      <c r="I394" s="720"/>
      <c r="J394" s="720"/>
      <c r="K394" s="907"/>
      <c r="L394" s="720"/>
      <c r="M394" s="720"/>
      <c r="N394" s="720"/>
      <c r="O394" s="720"/>
      <c r="P394" s="720"/>
      <c r="Q394" s="720"/>
      <c r="R394" s="720"/>
      <c r="S394" s="720"/>
      <c r="T394" s="720"/>
      <c r="U394" s="720"/>
      <c r="V394" s="720"/>
      <c r="W394" s="720"/>
      <c r="X394" s="720"/>
      <c r="Y394" s="720"/>
      <c r="Z394" s="720"/>
      <c r="AA394" s="720"/>
      <c r="AB394" s="720"/>
    </row>
    <row r="395" spans="1:28" ht="12.75" customHeight="1">
      <c r="A395" s="902"/>
      <c r="B395" s="903"/>
      <c r="C395" s="720"/>
      <c r="D395" s="720"/>
      <c r="E395" s="720"/>
      <c r="F395" s="720"/>
      <c r="G395" s="906"/>
      <c r="H395" s="720"/>
      <c r="I395" s="720"/>
      <c r="J395" s="720"/>
      <c r="K395" s="907"/>
      <c r="L395" s="720"/>
      <c r="M395" s="720"/>
      <c r="N395" s="720"/>
      <c r="O395" s="720"/>
      <c r="P395" s="720"/>
      <c r="Q395" s="720"/>
      <c r="R395" s="720"/>
      <c r="S395" s="720"/>
      <c r="T395" s="720"/>
      <c r="U395" s="720"/>
      <c r="V395" s="720"/>
      <c r="W395" s="720"/>
      <c r="X395" s="720"/>
      <c r="Y395" s="720"/>
      <c r="Z395" s="720"/>
      <c r="AA395" s="720"/>
      <c r="AB395" s="720"/>
    </row>
    <row r="396" spans="1:28" ht="12.75" customHeight="1">
      <c r="A396" s="902"/>
      <c r="B396" s="903"/>
      <c r="C396" s="720"/>
      <c r="D396" s="720"/>
      <c r="E396" s="720"/>
      <c r="F396" s="720"/>
      <c r="G396" s="906"/>
      <c r="H396" s="720"/>
      <c r="I396" s="720"/>
      <c r="J396" s="720"/>
      <c r="K396" s="907"/>
      <c r="L396" s="720"/>
      <c r="M396" s="720"/>
      <c r="N396" s="720"/>
      <c r="O396" s="720"/>
      <c r="P396" s="720"/>
      <c r="Q396" s="720"/>
      <c r="R396" s="720"/>
      <c r="S396" s="720"/>
      <c r="T396" s="720"/>
      <c r="U396" s="720"/>
      <c r="V396" s="720"/>
      <c r="W396" s="720"/>
      <c r="X396" s="720"/>
      <c r="Y396" s="720"/>
      <c r="Z396" s="720"/>
      <c r="AA396" s="720"/>
      <c r="AB396" s="720"/>
    </row>
    <row r="397" spans="1:28" ht="12.75" customHeight="1">
      <c r="A397" s="902"/>
      <c r="B397" s="903"/>
      <c r="C397" s="720"/>
      <c r="D397" s="720"/>
      <c r="E397" s="720"/>
      <c r="F397" s="720"/>
      <c r="G397" s="906"/>
      <c r="H397" s="720"/>
      <c r="I397" s="720"/>
      <c r="J397" s="720"/>
      <c r="K397" s="907"/>
      <c r="L397" s="720"/>
      <c r="M397" s="720"/>
      <c r="N397" s="720"/>
      <c r="O397" s="720"/>
      <c r="P397" s="720"/>
      <c r="Q397" s="720"/>
      <c r="R397" s="720"/>
      <c r="S397" s="720"/>
      <c r="T397" s="720"/>
      <c r="U397" s="720"/>
      <c r="V397" s="720"/>
      <c r="W397" s="720"/>
      <c r="X397" s="720"/>
      <c r="Y397" s="720"/>
      <c r="Z397" s="720"/>
      <c r="AA397" s="720"/>
      <c r="AB397" s="720"/>
    </row>
    <row r="398" spans="1:28" ht="12.75" customHeight="1">
      <c r="A398" s="902"/>
      <c r="B398" s="903"/>
      <c r="C398" s="720"/>
      <c r="D398" s="720"/>
      <c r="E398" s="720"/>
      <c r="F398" s="720"/>
      <c r="G398" s="906"/>
      <c r="H398" s="720"/>
      <c r="I398" s="720"/>
      <c r="J398" s="720"/>
      <c r="K398" s="907"/>
      <c r="L398" s="720"/>
      <c r="M398" s="720"/>
      <c r="N398" s="720"/>
      <c r="O398" s="720"/>
      <c r="P398" s="720"/>
      <c r="Q398" s="720"/>
      <c r="R398" s="720"/>
      <c r="S398" s="720"/>
      <c r="T398" s="720"/>
      <c r="U398" s="720"/>
      <c r="V398" s="720"/>
      <c r="W398" s="720"/>
      <c r="X398" s="720"/>
      <c r="Y398" s="720"/>
      <c r="Z398" s="720"/>
      <c r="AA398" s="720"/>
      <c r="AB398" s="720"/>
    </row>
    <row r="399" spans="1:28" ht="12.75" customHeight="1">
      <c r="A399" s="902"/>
      <c r="B399" s="903"/>
      <c r="C399" s="720"/>
      <c r="D399" s="720"/>
      <c r="E399" s="720"/>
      <c r="F399" s="720"/>
      <c r="G399" s="906"/>
      <c r="H399" s="720"/>
      <c r="I399" s="720"/>
      <c r="J399" s="720"/>
      <c r="K399" s="907"/>
      <c r="L399" s="720"/>
      <c r="M399" s="720"/>
      <c r="N399" s="720"/>
      <c r="O399" s="720"/>
      <c r="P399" s="720"/>
      <c r="Q399" s="720"/>
      <c r="R399" s="720"/>
      <c r="S399" s="720"/>
      <c r="T399" s="720"/>
      <c r="U399" s="720"/>
      <c r="V399" s="720"/>
      <c r="W399" s="720"/>
      <c r="X399" s="720"/>
      <c r="Y399" s="720"/>
      <c r="Z399" s="720"/>
      <c r="AA399" s="720"/>
      <c r="AB399" s="720"/>
    </row>
    <row r="400" spans="1:28" ht="12.75" customHeight="1">
      <c r="A400" s="902"/>
      <c r="B400" s="903"/>
      <c r="C400" s="720"/>
      <c r="D400" s="720"/>
      <c r="E400" s="720"/>
      <c r="F400" s="720"/>
      <c r="G400" s="906"/>
      <c r="H400" s="720"/>
      <c r="I400" s="720"/>
      <c r="J400" s="720"/>
      <c r="K400" s="907"/>
      <c r="L400" s="720"/>
      <c r="M400" s="720"/>
      <c r="N400" s="720"/>
      <c r="O400" s="720"/>
      <c r="P400" s="720"/>
      <c r="Q400" s="720"/>
      <c r="R400" s="720"/>
      <c r="S400" s="720"/>
      <c r="T400" s="720"/>
      <c r="U400" s="720"/>
      <c r="V400" s="720"/>
      <c r="W400" s="720"/>
      <c r="X400" s="720"/>
      <c r="Y400" s="720"/>
      <c r="Z400" s="720"/>
      <c r="AA400" s="720"/>
      <c r="AB400" s="720"/>
    </row>
    <row r="401" spans="1:28" ht="12.75" customHeight="1">
      <c r="A401" s="902"/>
      <c r="B401" s="903"/>
      <c r="C401" s="720"/>
      <c r="D401" s="720"/>
      <c r="E401" s="720"/>
      <c r="F401" s="720"/>
      <c r="G401" s="906"/>
      <c r="H401" s="720"/>
      <c r="I401" s="720"/>
      <c r="J401" s="720"/>
      <c r="K401" s="907"/>
      <c r="L401" s="720"/>
      <c r="M401" s="720"/>
      <c r="N401" s="720"/>
      <c r="O401" s="720"/>
      <c r="P401" s="720"/>
      <c r="Q401" s="720"/>
      <c r="R401" s="720"/>
      <c r="S401" s="720"/>
      <c r="T401" s="720"/>
      <c r="U401" s="720"/>
      <c r="V401" s="720"/>
      <c r="W401" s="720"/>
      <c r="X401" s="720"/>
      <c r="Y401" s="720"/>
      <c r="Z401" s="720"/>
      <c r="AA401" s="720"/>
      <c r="AB401" s="720"/>
    </row>
    <row r="402" spans="1:28" ht="12.75" customHeight="1">
      <c r="A402" s="902"/>
      <c r="B402" s="903"/>
      <c r="C402" s="720"/>
      <c r="D402" s="720"/>
      <c r="E402" s="720"/>
      <c r="F402" s="720"/>
      <c r="G402" s="906"/>
      <c r="H402" s="720"/>
      <c r="I402" s="720"/>
      <c r="J402" s="720"/>
      <c r="K402" s="907"/>
      <c r="L402" s="720"/>
      <c r="M402" s="720"/>
      <c r="N402" s="720"/>
      <c r="O402" s="720"/>
      <c r="P402" s="720"/>
      <c r="Q402" s="720"/>
      <c r="R402" s="720"/>
      <c r="S402" s="720"/>
      <c r="T402" s="720"/>
      <c r="U402" s="720"/>
      <c r="V402" s="720"/>
      <c r="W402" s="720"/>
      <c r="X402" s="720"/>
      <c r="Y402" s="720"/>
      <c r="Z402" s="720"/>
      <c r="AA402" s="720"/>
      <c r="AB402" s="720"/>
    </row>
    <row r="403" spans="1:28" ht="12.75" customHeight="1">
      <c r="A403" s="902"/>
      <c r="B403" s="903"/>
      <c r="C403" s="720"/>
      <c r="D403" s="720"/>
      <c r="E403" s="720"/>
      <c r="F403" s="720"/>
      <c r="G403" s="906"/>
      <c r="H403" s="720"/>
      <c r="I403" s="720"/>
      <c r="J403" s="720"/>
      <c r="K403" s="907"/>
      <c r="L403" s="720"/>
      <c r="M403" s="720"/>
      <c r="N403" s="720"/>
      <c r="O403" s="720"/>
      <c r="P403" s="720"/>
      <c r="Q403" s="720"/>
      <c r="R403" s="720"/>
      <c r="S403" s="720"/>
      <c r="T403" s="720"/>
      <c r="U403" s="720"/>
      <c r="V403" s="720"/>
      <c r="W403" s="720"/>
      <c r="X403" s="720"/>
      <c r="Y403" s="720"/>
      <c r="Z403" s="720"/>
      <c r="AA403" s="720"/>
      <c r="AB403" s="720"/>
    </row>
    <row r="404" spans="1:28" ht="12.75" customHeight="1">
      <c r="A404" s="902"/>
      <c r="B404" s="903"/>
      <c r="C404" s="720"/>
      <c r="D404" s="720"/>
      <c r="E404" s="720"/>
      <c r="F404" s="720"/>
      <c r="G404" s="906"/>
      <c r="H404" s="720"/>
      <c r="I404" s="720"/>
      <c r="J404" s="720"/>
      <c r="K404" s="907"/>
      <c r="L404" s="720"/>
      <c r="M404" s="720"/>
      <c r="N404" s="720"/>
      <c r="O404" s="720"/>
      <c r="P404" s="720"/>
      <c r="Q404" s="720"/>
      <c r="R404" s="720"/>
      <c r="S404" s="720"/>
      <c r="T404" s="720"/>
      <c r="U404" s="720"/>
      <c r="V404" s="720"/>
      <c r="W404" s="720"/>
      <c r="X404" s="720"/>
      <c r="Y404" s="720"/>
      <c r="Z404" s="720"/>
      <c r="AA404" s="720"/>
      <c r="AB404" s="720"/>
    </row>
    <row r="405" spans="1:28" ht="12.75" customHeight="1">
      <c r="A405" s="902"/>
      <c r="B405" s="903"/>
      <c r="C405" s="720"/>
      <c r="D405" s="720"/>
      <c r="E405" s="720"/>
      <c r="F405" s="720"/>
      <c r="G405" s="906"/>
      <c r="H405" s="720"/>
      <c r="I405" s="720"/>
      <c r="J405" s="720"/>
      <c r="K405" s="907"/>
      <c r="L405" s="720"/>
      <c r="M405" s="720"/>
      <c r="N405" s="720"/>
      <c r="O405" s="720"/>
      <c r="P405" s="720"/>
      <c r="Q405" s="720"/>
      <c r="R405" s="720"/>
      <c r="S405" s="720"/>
      <c r="T405" s="720"/>
      <c r="U405" s="720"/>
      <c r="V405" s="720"/>
      <c r="W405" s="720"/>
      <c r="X405" s="720"/>
      <c r="Y405" s="720"/>
      <c r="Z405" s="720"/>
      <c r="AA405" s="720"/>
      <c r="AB405" s="720"/>
    </row>
    <row r="406" spans="1:28" ht="12.75" customHeight="1">
      <c r="A406" s="902"/>
      <c r="B406" s="903"/>
      <c r="C406" s="720"/>
      <c r="D406" s="720"/>
      <c r="E406" s="720"/>
      <c r="F406" s="720"/>
      <c r="G406" s="906"/>
      <c r="H406" s="720"/>
      <c r="I406" s="720"/>
      <c r="J406" s="720"/>
      <c r="K406" s="907"/>
      <c r="L406" s="720"/>
      <c r="M406" s="720"/>
      <c r="N406" s="720"/>
      <c r="O406" s="720"/>
      <c r="P406" s="720"/>
      <c r="Q406" s="720"/>
      <c r="R406" s="720"/>
      <c r="S406" s="720"/>
      <c r="T406" s="720"/>
      <c r="U406" s="720"/>
      <c r="V406" s="720"/>
      <c r="W406" s="720"/>
      <c r="X406" s="720"/>
      <c r="Y406" s="720"/>
      <c r="Z406" s="720"/>
      <c r="AA406" s="720"/>
      <c r="AB406" s="720"/>
    </row>
    <row r="407" spans="1:28" ht="12.75" customHeight="1">
      <c r="A407" s="902"/>
      <c r="B407" s="903"/>
      <c r="C407" s="720"/>
      <c r="D407" s="720"/>
      <c r="E407" s="720"/>
      <c r="F407" s="720"/>
      <c r="G407" s="906"/>
      <c r="H407" s="720"/>
      <c r="I407" s="720"/>
      <c r="J407" s="720"/>
      <c r="K407" s="907"/>
      <c r="L407" s="720"/>
      <c r="M407" s="720"/>
      <c r="N407" s="720"/>
      <c r="O407" s="720"/>
      <c r="P407" s="720"/>
      <c r="Q407" s="720"/>
      <c r="R407" s="720"/>
      <c r="S407" s="720"/>
      <c r="T407" s="720"/>
      <c r="U407" s="720"/>
      <c r="V407" s="720"/>
      <c r="W407" s="720"/>
      <c r="X407" s="720"/>
      <c r="Y407" s="720"/>
      <c r="Z407" s="720"/>
      <c r="AA407" s="720"/>
      <c r="AB407" s="720"/>
    </row>
    <row r="408" spans="1:28" ht="12.75" customHeight="1">
      <c r="A408" s="902"/>
      <c r="B408" s="903"/>
      <c r="C408" s="720"/>
      <c r="D408" s="720"/>
      <c r="E408" s="720"/>
      <c r="F408" s="720"/>
      <c r="G408" s="906"/>
      <c r="H408" s="720"/>
      <c r="I408" s="720"/>
      <c r="J408" s="720"/>
      <c r="K408" s="907"/>
      <c r="L408" s="720"/>
      <c r="M408" s="720"/>
      <c r="N408" s="720"/>
      <c r="O408" s="720"/>
      <c r="P408" s="720"/>
      <c r="Q408" s="720"/>
      <c r="R408" s="720"/>
      <c r="S408" s="720"/>
      <c r="T408" s="720"/>
      <c r="U408" s="720"/>
      <c r="V408" s="720"/>
      <c r="W408" s="720"/>
      <c r="X408" s="720"/>
      <c r="Y408" s="720"/>
      <c r="Z408" s="720"/>
      <c r="AA408" s="720"/>
      <c r="AB408" s="720"/>
    </row>
    <row r="409" spans="1:28" ht="12.75" customHeight="1">
      <c r="A409" s="902"/>
      <c r="B409" s="903"/>
      <c r="C409" s="720"/>
      <c r="D409" s="720"/>
      <c r="E409" s="720"/>
      <c r="F409" s="720"/>
      <c r="G409" s="906"/>
      <c r="H409" s="720"/>
      <c r="I409" s="720"/>
      <c r="J409" s="720"/>
      <c r="K409" s="907"/>
      <c r="L409" s="720"/>
      <c r="M409" s="720"/>
      <c r="N409" s="720"/>
      <c r="O409" s="720"/>
      <c r="P409" s="720"/>
      <c r="Q409" s="720"/>
      <c r="R409" s="720"/>
      <c r="S409" s="720"/>
      <c r="T409" s="720"/>
      <c r="U409" s="720"/>
      <c r="V409" s="720"/>
      <c r="W409" s="720"/>
      <c r="X409" s="720"/>
      <c r="Y409" s="720"/>
      <c r="Z409" s="720"/>
      <c r="AA409" s="720"/>
      <c r="AB409" s="720"/>
    </row>
    <row r="410" spans="1:28" ht="12.75" customHeight="1">
      <c r="A410" s="902"/>
      <c r="B410" s="903"/>
      <c r="C410" s="720"/>
      <c r="D410" s="720"/>
      <c r="E410" s="720"/>
      <c r="F410" s="720"/>
      <c r="G410" s="906"/>
      <c r="H410" s="720"/>
      <c r="I410" s="720"/>
      <c r="J410" s="720"/>
      <c r="K410" s="907"/>
      <c r="L410" s="720"/>
      <c r="M410" s="720"/>
      <c r="N410" s="720"/>
      <c r="O410" s="720"/>
      <c r="P410" s="720"/>
      <c r="Q410" s="720"/>
      <c r="R410" s="720"/>
      <c r="S410" s="720"/>
      <c r="T410" s="720"/>
      <c r="U410" s="720"/>
      <c r="V410" s="720"/>
      <c r="W410" s="720"/>
      <c r="X410" s="720"/>
      <c r="Y410" s="720"/>
      <c r="Z410" s="720"/>
      <c r="AA410" s="720"/>
      <c r="AB410" s="720"/>
    </row>
    <row r="411" spans="1:28" ht="12.75" customHeight="1">
      <c r="A411" s="902"/>
      <c r="B411" s="903"/>
      <c r="C411" s="720"/>
      <c r="D411" s="720"/>
      <c r="E411" s="720"/>
      <c r="F411" s="720"/>
      <c r="G411" s="906"/>
      <c r="H411" s="720"/>
      <c r="I411" s="720"/>
      <c r="J411" s="720"/>
      <c r="K411" s="907"/>
      <c r="L411" s="720"/>
      <c r="M411" s="720"/>
      <c r="N411" s="720"/>
      <c r="O411" s="720"/>
      <c r="P411" s="720"/>
      <c r="Q411" s="720"/>
      <c r="R411" s="720"/>
      <c r="S411" s="720"/>
      <c r="T411" s="720"/>
      <c r="U411" s="720"/>
      <c r="V411" s="720"/>
      <c r="W411" s="720"/>
      <c r="X411" s="720"/>
      <c r="Y411" s="720"/>
      <c r="Z411" s="720"/>
      <c r="AA411" s="720"/>
      <c r="AB411" s="720"/>
    </row>
    <row r="412" spans="1:28" ht="12.75" customHeight="1">
      <c r="A412" s="902"/>
      <c r="B412" s="903"/>
      <c r="C412" s="720"/>
      <c r="D412" s="720"/>
      <c r="E412" s="720"/>
      <c r="F412" s="720"/>
      <c r="G412" s="906"/>
      <c r="H412" s="720"/>
      <c r="I412" s="720"/>
      <c r="J412" s="720"/>
      <c r="K412" s="907"/>
      <c r="L412" s="720"/>
      <c r="M412" s="720"/>
      <c r="N412" s="720"/>
      <c r="O412" s="720"/>
      <c r="P412" s="720"/>
      <c r="Q412" s="720"/>
      <c r="R412" s="720"/>
      <c r="S412" s="720"/>
      <c r="T412" s="720"/>
      <c r="U412" s="720"/>
      <c r="V412" s="720"/>
      <c r="W412" s="720"/>
      <c r="X412" s="720"/>
      <c r="Y412" s="720"/>
      <c r="Z412" s="720"/>
      <c r="AA412" s="720"/>
      <c r="AB412" s="720"/>
    </row>
    <row r="413" spans="1:28" ht="12.75" customHeight="1">
      <c r="A413" s="902"/>
      <c r="B413" s="903"/>
      <c r="C413" s="720"/>
      <c r="D413" s="720"/>
      <c r="E413" s="720"/>
      <c r="F413" s="720"/>
      <c r="G413" s="906"/>
      <c r="H413" s="720"/>
      <c r="I413" s="720"/>
      <c r="J413" s="720"/>
      <c r="K413" s="907"/>
      <c r="L413" s="720"/>
      <c r="M413" s="720"/>
      <c r="N413" s="720"/>
      <c r="O413" s="720"/>
      <c r="P413" s="720"/>
      <c r="Q413" s="720"/>
      <c r="R413" s="720"/>
      <c r="S413" s="720"/>
      <c r="T413" s="720"/>
      <c r="U413" s="720"/>
      <c r="V413" s="720"/>
      <c r="W413" s="720"/>
      <c r="X413" s="720"/>
      <c r="Y413" s="720"/>
      <c r="Z413" s="720"/>
      <c r="AA413" s="720"/>
      <c r="AB413" s="720"/>
    </row>
    <row r="414" spans="1:28" ht="12.75" customHeight="1">
      <c r="A414" s="902"/>
      <c r="B414" s="903"/>
      <c r="C414" s="720"/>
      <c r="D414" s="720"/>
      <c r="E414" s="720"/>
      <c r="F414" s="720"/>
      <c r="G414" s="906"/>
      <c r="H414" s="720"/>
      <c r="I414" s="720"/>
      <c r="J414" s="720"/>
      <c r="K414" s="907"/>
      <c r="L414" s="720"/>
      <c r="M414" s="720"/>
      <c r="N414" s="720"/>
      <c r="O414" s="720"/>
      <c r="P414" s="720"/>
      <c r="Q414" s="720"/>
      <c r="R414" s="720"/>
      <c r="S414" s="720"/>
      <c r="T414" s="720"/>
      <c r="U414" s="720"/>
      <c r="V414" s="720"/>
      <c r="W414" s="720"/>
      <c r="X414" s="720"/>
      <c r="Y414" s="720"/>
      <c r="Z414" s="720"/>
      <c r="AA414" s="720"/>
      <c r="AB414" s="720"/>
    </row>
    <row r="415" spans="1:28" ht="12.75" customHeight="1">
      <c r="A415" s="902"/>
      <c r="B415" s="903"/>
      <c r="C415" s="720"/>
      <c r="D415" s="720"/>
      <c r="E415" s="720"/>
      <c r="F415" s="720"/>
      <c r="G415" s="906"/>
      <c r="H415" s="720"/>
      <c r="I415" s="720"/>
      <c r="J415" s="720"/>
      <c r="K415" s="907"/>
      <c r="L415" s="720"/>
      <c r="M415" s="720"/>
      <c r="N415" s="720"/>
      <c r="O415" s="720"/>
      <c r="P415" s="720"/>
      <c r="Q415" s="720"/>
      <c r="R415" s="720"/>
      <c r="S415" s="720"/>
      <c r="T415" s="720"/>
      <c r="U415" s="720"/>
      <c r="V415" s="720"/>
      <c r="W415" s="720"/>
      <c r="X415" s="720"/>
      <c r="Y415" s="720"/>
      <c r="Z415" s="720"/>
      <c r="AA415" s="720"/>
      <c r="AB415" s="720"/>
    </row>
    <row r="416" spans="1:28" ht="12.75" customHeight="1">
      <c r="A416" s="902"/>
      <c r="B416" s="903"/>
      <c r="C416" s="720"/>
      <c r="D416" s="720"/>
      <c r="E416" s="720"/>
      <c r="F416" s="720"/>
      <c r="G416" s="906"/>
      <c r="H416" s="720"/>
      <c r="I416" s="720"/>
      <c r="J416" s="720"/>
      <c r="K416" s="907"/>
      <c r="L416" s="720"/>
      <c r="M416" s="720"/>
      <c r="N416" s="720"/>
      <c r="O416" s="720"/>
      <c r="P416" s="720"/>
      <c r="Q416" s="720"/>
      <c r="R416" s="720"/>
      <c r="S416" s="720"/>
      <c r="T416" s="720"/>
      <c r="U416" s="720"/>
      <c r="V416" s="720"/>
      <c r="W416" s="720"/>
      <c r="X416" s="720"/>
      <c r="Y416" s="720"/>
      <c r="Z416" s="720"/>
      <c r="AA416" s="720"/>
      <c r="AB416" s="720"/>
    </row>
    <row r="417" spans="1:28" ht="12.75" customHeight="1">
      <c r="A417" s="902"/>
      <c r="B417" s="903"/>
      <c r="C417" s="720"/>
      <c r="D417" s="720"/>
      <c r="E417" s="720"/>
      <c r="F417" s="720"/>
      <c r="G417" s="906"/>
      <c r="H417" s="720"/>
      <c r="I417" s="720"/>
      <c r="J417" s="720"/>
      <c r="K417" s="907"/>
      <c r="L417" s="720"/>
      <c r="M417" s="720"/>
      <c r="N417" s="720"/>
      <c r="O417" s="720"/>
      <c r="P417" s="720"/>
      <c r="Q417" s="720"/>
      <c r="R417" s="720"/>
      <c r="S417" s="720"/>
      <c r="T417" s="720"/>
      <c r="U417" s="720"/>
      <c r="V417" s="720"/>
      <c r="W417" s="720"/>
      <c r="X417" s="720"/>
      <c r="Y417" s="720"/>
      <c r="Z417" s="720"/>
      <c r="AA417" s="720"/>
      <c r="AB417" s="720"/>
    </row>
    <row r="418" spans="1:28" ht="12.75" customHeight="1">
      <c r="A418" s="902"/>
      <c r="B418" s="903"/>
      <c r="C418" s="720"/>
      <c r="D418" s="720"/>
      <c r="E418" s="720"/>
      <c r="F418" s="720"/>
      <c r="G418" s="906"/>
      <c r="H418" s="720"/>
      <c r="I418" s="720"/>
      <c r="J418" s="720"/>
      <c r="K418" s="907"/>
      <c r="L418" s="720"/>
      <c r="M418" s="720"/>
      <c r="N418" s="720"/>
      <c r="O418" s="720"/>
      <c r="P418" s="720"/>
      <c r="Q418" s="720"/>
      <c r="R418" s="720"/>
      <c r="S418" s="720"/>
      <c r="T418" s="720"/>
      <c r="U418" s="720"/>
      <c r="V418" s="720"/>
      <c r="W418" s="720"/>
      <c r="X418" s="720"/>
      <c r="Y418" s="720"/>
      <c r="Z418" s="720"/>
      <c r="AA418" s="720"/>
      <c r="AB418" s="720"/>
    </row>
    <row r="419" spans="1:28" ht="12.75" customHeight="1">
      <c r="A419" s="902"/>
      <c r="B419" s="903"/>
      <c r="C419" s="720"/>
      <c r="D419" s="720"/>
      <c r="E419" s="720"/>
      <c r="F419" s="720"/>
      <c r="G419" s="906"/>
      <c r="H419" s="720"/>
      <c r="I419" s="720"/>
      <c r="J419" s="720"/>
      <c r="K419" s="907"/>
      <c r="L419" s="720"/>
      <c r="M419" s="720"/>
      <c r="N419" s="720"/>
      <c r="O419" s="720"/>
      <c r="P419" s="720"/>
      <c r="Q419" s="720"/>
      <c r="R419" s="720"/>
      <c r="S419" s="720"/>
      <c r="T419" s="720"/>
      <c r="U419" s="720"/>
      <c r="V419" s="720"/>
      <c r="W419" s="720"/>
      <c r="X419" s="720"/>
      <c r="Y419" s="720"/>
      <c r="Z419" s="720"/>
      <c r="AA419" s="720"/>
      <c r="AB419" s="720"/>
    </row>
    <row r="420" spans="1:28" ht="12.75" customHeight="1">
      <c r="A420" s="902"/>
      <c r="B420" s="903"/>
      <c r="C420" s="720"/>
      <c r="D420" s="720"/>
      <c r="E420" s="720"/>
      <c r="F420" s="720"/>
      <c r="G420" s="906"/>
      <c r="H420" s="720"/>
      <c r="I420" s="720"/>
      <c r="J420" s="720"/>
      <c r="K420" s="907"/>
      <c r="L420" s="720"/>
      <c r="M420" s="720"/>
      <c r="N420" s="720"/>
      <c r="O420" s="720"/>
      <c r="P420" s="720"/>
      <c r="Q420" s="720"/>
      <c r="R420" s="720"/>
      <c r="S420" s="720"/>
      <c r="T420" s="720"/>
      <c r="U420" s="720"/>
      <c r="V420" s="720"/>
      <c r="W420" s="720"/>
      <c r="X420" s="720"/>
      <c r="Y420" s="720"/>
      <c r="Z420" s="720"/>
      <c r="AA420" s="720"/>
      <c r="AB420" s="720"/>
    </row>
    <row r="421" spans="1:28" ht="12.75" customHeight="1">
      <c r="A421" s="902"/>
      <c r="B421" s="903"/>
      <c r="C421" s="720"/>
      <c r="D421" s="720"/>
      <c r="E421" s="720"/>
      <c r="F421" s="720"/>
      <c r="G421" s="906"/>
      <c r="H421" s="720"/>
      <c r="I421" s="720"/>
      <c r="J421" s="720"/>
      <c r="K421" s="907"/>
      <c r="L421" s="720"/>
      <c r="M421" s="720"/>
      <c r="N421" s="720"/>
      <c r="O421" s="720"/>
      <c r="P421" s="720"/>
      <c r="Q421" s="720"/>
      <c r="R421" s="720"/>
      <c r="S421" s="720"/>
      <c r="T421" s="720"/>
      <c r="U421" s="720"/>
      <c r="V421" s="720"/>
      <c r="W421" s="720"/>
      <c r="X421" s="720"/>
      <c r="Y421" s="720"/>
      <c r="Z421" s="720"/>
      <c r="AA421" s="720"/>
      <c r="AB421" s="720"/>
    </row>
    <row r="422" spans="1:28" ht="12.75" customHeight="1">
      <c r="A422" s="902"/>
      <c r="B422" s="903"/>
      <c r="C422" s="720"/>
      <c r="D422" s="720"/>
      <c r="E422" s="720"/>
      <c r="F422" s="720"/>
      <c r="G422" s="906"/>
      <c r="H422" s="720"/>
      <c r="I422" s="720"/>
      <c r="J422" s="720"/>
      <c r="K422" s="907"/>
      <c r="L422" s="720"/>
      <c r="M422" s="720"/>
      <c r="N422" s="720"/>
      <c r="O422" s="720"/>
      <c r="P422" s="720"/>
      <c r="Q422" s="720"/>
      <c r="R422" s="720"/>
      <c r="S422" s="720"/>
      <c r="T422" s="720"/>
      <c r="U422" s="720"/>
      <c r="V422" s="720"/>
      <c r="W422" s="720"/>
      <c r="X422" s="720"/>
      <c r="Y422" s="720"/>
      <c r="Z422" s="720"/>
      <c r="AA422" s="720"/>
      <c r="AB422" s="720"/>
    </row>
    <row r="423" spans="1:28" ht="12.75" customHeight="1">
      <c r="A423" s="902"/>
      <c r="B423" s="903"/>
      <c r="C423" s="720"/>
      <c r="D423" s="720"/>
      <c r="E423" s="720"/>
      <c r="F423" s="720"/>
      <c r="G423" s="906"/>
      <c r="H423" s="720"/>
      <c r="I423" s="720"/>
      <c r="J423" s="720"/>
      <c r="K423" s="907"/>
      <c r="L423" s="720"/>
      <c r="M423" s="720"/>
      <c r="N423" s="720"/>
      <c r="O423" s="720"/>
      <c r="P423" s="720"/>
      <c r="Q423" s="720"/>
      <c r="R423" s="720"/>
      <c r="S423" s="720"/>
      <c r="T423" s="720"/>
      <c r="U423" s="720"/>
      <c r="V423" s="720"/>
      <c r="W423" s="720"/>
      <c r="X423" s="720"/>
      <c r="Y423" s="720"/>
      <c r="Z423" s="720"/>
      <c r="AA423" s="720"/>
      <c r="AB423" s="720"/>
    </row>
    <row r="424" spans="1:28" ht="12.75" customHeight="1">
      <c r="A424" s="902"/>
      <c r="B424" s="903"/>
      <c r="C424" s="720"/>
      <c r="D424" s="720"/>
      <c r="E424" s="720"/>
      <c r="F424" s="720"/>
      <c r="G424" s="906"/>
      <c r="H424" s="720"/>
      <c r="I424" s="720"/>
      <c r="J424" s="720"/>
      <c r="K424" s="907"/>
      <c r="L424" s="720"/>
      <c r="M424" s="720"/>
      <c r="N424" s="720"/>
      <c r="O424" s="720"/>
      <c r="P424" s="720"/>
      <c r="Q424" s="720"/>
      <c r="R424" s="720"/>
      <c r="S424" s="720"/>
      <c r="T424" s="720"/>
      <c r="U424" s="720"/>
      <c r="V424" s="720"/>
      <c r="W424" s="720"/>
      <c r="X424" s="720"/>
      <c r="Y424" s="720"/>
      <c r="Z424" s="720"/>
      <c r="AA424" s="720"/>
      <c r="AB424" s="720"/>
    </row>
    <row r="425" spans="1:28" ht="12.75" customHeight="1">
      <c r="A425" s="902"/>
      <c r="B425" s="903"/>
      <c r="C425" s="720"/>
      <c r="D425" s="720"/>
      <c r="E425" s="720"/>
      <c r="F425" s="720"/>
      <c r="G425" s="906"/>
      <c r="H425" s="720"/>
      <c r="I425" s="720"/>
      <c r="J425" s="720"/>
      <c r="K425" s="907"/>
      <c r="L425" s="720"/>
      <c r="M425" s="720"/>
      <c r="N425" s="720"/>
      <c r="O425" s="720"/>
      <c r="P425" s="720"/>
      <c r="Q425" s="720"/>
      <c r="R425" s="720"/>
      <c r="S425" s="720"/>
      <c r="T425" s="720"/>
      <c r="U425" s="720"/>
      <c r="V425" s="720"/>
      <c r="W425" s="720"/>
      <c r="X425" s="720"/>
      <c r="Y425" s="720"/>
      <c r="Z425" s="720"/>
      <c r="AA425" s="720"/>
      <c r="AB425" s="720"/>
    </row>
    <row r="426" spans="1:28" ht="12.75" customHeight="1">
      <c r="A426" s="902"/>
      <c r="B426" s="903"/>
      <c r="C426" s="720"/>
      <c r="D426" s="720"/>
      <c r="E426" s="720"/>
      <c r="F426" s="720"/>
      <c r="G426" s="906"/>
      <c r="H426" s="720"/>
      <c r="I426" s="720"/>
      <c r="J426" s="720"/>
      <c r="K426" s="907"/>
      <c r="L426" s="720"/>
      <c r="M426" s="720"/>
      <c r="N426" s="720"/>
      <c r="O426" s="720"/>
      <c r="P426" s="720"/>
      <c r="Q426" s="720"/>
      <c r="R426" s="720"/>
      <c r="S426" s="720"/>
      <c r="T426" s="720"/>
      <c r="U426" s="720"/>
      <c r="V426" s="720"/>
      <c r="W426" s="720"/>
      <c r="X426" s="720"/>
      <c r="Y426" s="720"/>
      <c r="Z426" s="720"/>
      <c r="AA426" s="720"/>
      <c r="AB426" s="720"/>
    </row>
    <row r="427" spans="1:28" ht="12.75" customHeight="1">
      <c r="A427" s="902"/>
      <c r="B427" s="903"/>
      <c r="C427" s="720"/>
      <c r="D427" s="720"/>
      <c r="E427" s="720"/>
      <c r="F427" s="720"/>
      <c r="G427" s="906"/>
      <c r="H427" s="720"/>
      <c r="I427" s="720"/>
      <c r="J427" s="720"/>
      <c r="K427" s="907"/>
      <c r="L427" s="720"/>
      <c r="M427" s="720"/>
      <c r="N427" s="720"/>
      <c r="O427" s="720"/>
      <c r="P427" s="720"/>
      <c r="Q427" s="720"/>
      <c r="R427" s="720"/>
      <c r="S427" s="720"/>
      <c r="T427" s="720"/>
      <c r="U427" s="720"/>
      <c r="V427" s="720"/>
      <c r="W427" s="720"/>
      <c r="X427" s="720"/>
      <c r="Y427" s="720"/>
      <c r="Z427" s="720"/>
      <c r="AA427" s="720"/>
      <c r="AB427" s="720"/>
    </row>
    <row r="428" spans="1:28" ht="12.75" customHeight="1">
      <c r="A428" s="902"/>
      <c r="B428" s="903"/>
      <c r="C428" s="720"/>
      <c r="D428" s="720"/>
      <c r="E428" s="720"/>
      <c r="F428" s="720"/>
      <c r="G428" s="906"/>
      <c r="H428" s="720"/>
      <c r="I428" s="720"/>
      <c r="J428" s="720"/>
      <c r="K428" s="907"/>
      <c r="L428" s="720"/>
      <c r="M428" s="720"/>
      <c r="N428" s="720"/>
      <c r="O428" s="720"/>
      <c r="P428" s="720"/>
      <c r="Q428" s="720"/>
      <c r="R428" s="720"/>
      <c r="S428" s="720"/>
      <c r="T428" s="720"/>
      <c r="U428" s="720"/>
      <c r="V428" s="720"/>
      <c r="W428" s="720"/>
      <c r="X428" s="720"/>
      <c r="Y428" s="720"/>
      <c r="Z428" s="720"/>
      <c r="AA428" s="720"/>
      <c r="AB428" s="720"/>
    </row>
    <row r="429" spans="1:28" ht="12.75" customHeight="1">
      <c r="A429" s="902"/>
      <c r="B429" s="903"/>
      <c r="C429" s="720"/>
      <c r="D429" s="720"/>
      <c r="E429" s="720"/>
      <c r="F429" s="720"/>
      <c r="G429" s="906"/>
      <c r="H429" s="720"/>
      <c r="I429" s="720"/>
      <c r="J429" s="720"/>
      <c r="K429" s="907"/>
      <c r="L429" s="720"/>
      <c r="M429" s="720"/>
      <c r="N429" s="720"/>
      <c r="O429" s="720"/>
      <c r="P429" s="720"/>
      <c r="Q429" s="720"/>
      <c r="R429" s="720"/>
      <c r="S429" s="720"/>
      <c r="T429" s="720"/>
      <c r="U429" s="720"/>
      <c r="V429" s="720"/>
      <c r="W429" s="720"/>
      <c r="X429" s="720"/>
      <c r="Y429" s="720"/>
      <c r="Z429" s="720"/>
      <c r="AA429" s="720"/>
      <c r="AB429" s="720"/>
    </row>
    <row r="430" spans="1:28" ht="12.75" customHeight="1">
      <c r="A430" s="902"/>
      <c r="B430" s="903"/>
      <c r="C430" s="720"/>
      <c r="D430" s="720"/>
      <c r="E430" s="720"/>
      <c r="F430" s="720"/>
      <c r="G430" s="906"/>
      <c r="H430" s="720"/>
      <c r="I430" s="720"/>
      <c r="J430" s="720"/>
      <c r="K430" s="907"/>
      <c r="L430" s="720"/>
      <c r="M430" s="720"/>
      <c r="N430" s="720"/>
      <c r="O430" s="720"/>
      <c r="P430" s="720"/>
      <c r="Q430" s="720"/>
      <c r="R430" s="720"/>
      <c r="S430" s="720"/>
      <c r="T430" s="720"/>
      <c r="U430" s="720"/>
      <c r="V430" s="720"/>
      <c r="W430" s="720"/>
      <c r="X430" s="720"/>
      <c r="Y430" s="720"/>
      <c r="Z430" s="720"/>
      <c r="AA430" s="720"/>
      <c r="AB430" s="720"/>
    </row>
    <row r="431" spans="1:28" ht="12.75" customHeight="1">
      <c r="A431" s="902"/>
      <c r="B431" s="903"/>
      <c r="C431" s="720"/>
      <c r="D431" s="720"/>
      <c r="E431" s="720"/>
      <c r="F431" s="720"/>
      <c r="G431" s="906"/>
      <c r="H431" s="720"/>
      <c r="I431" s="720"/>
      <c r="J431" s="720"/>
      <c r="K431" s="907"/>
      <c r="L431" s="720"/>
      <c r="M431" s="720"/>
      <c r="N431" s="720"/>
      <c r="O431" s="720"/>
      <c r="P431" s="720"/>
      <c r="Q431" s="720"/>
      <c r="R431" s="720"/>
      <c r="S431" s="720"/>
      <c r="T431" s="720"/>
      <c r="U431" s="720"/>
      <c r="V431" s="720"/>
      <c r="W431" s="720"/>
      <c r="X431" s="720"/>
      <c r="Y431" s="720"/>
      <c r="Z431" s="720"/>
      <c r="AA431" s="720"/>
      <c r="AB431" s="720"/>
    </row>
    <row r="432" spans="1:28" ht="12.75" customHeight="1">
      <c r="A432" s="902"/>
      <c r="B432" s="903"/>
      <c r="C432" s="720"/>
      <c r="D432" s="720"/>
      <c r="E432" s="720"/>
      <c r="F432" s="720"/>
      <c r="G432" s="906"/>
      <c r="H432" s="720"/>
      <c r="I432" s="720"/>
      <c r="J432" s="720"/>
      <c r="K432" s="907"/>
      <c r="L432" s="720"/>
      <c r="M432" s="720"/>
      <c r="N432" s="720"/>
      <c r="O432" s="720"/>
      <c r="P432" s="720"/>
      <c r="Q432" s="720"/>
      <c r="R432" s="720"/>
      <c r="S432" s="720"/>
      <c r="T432" s="720"/>
      <c r="U432" s="720"/>
      <c r="V432" s="720"/>
      <c r="W432" s="720"/>
      <c r="X432" s="720"/>
      <c r="Y432" s="720"/>
      <c r="Z432" s="720"/>
      <c r="AA432" s="720"/>
      <c r="AB432" s="720"/>
    </row>
    <row r="433" spans="1:28" ht="12.75" customHeight="1">
      <c r="A433" s="902"/>
      <c r="B433" s="903"/>
      <c r="C433" s="720"/>
      <c r="D433" s="720"/>
      <c r="E433" s="720"/>
      <c r="F433" s="720"/>
      <c r="G433" s="906"/>
      <c r="H433" s="720"/>
      <c r="I433" s="720"/>
      <c r="J433" s="720"/>
      <c r="K433" s="907"/>
      <c r="L433" s="720"/>
      <c r="M433" s="720"/>
      <c r="N433" s="720"/>
      <c r="O433" s="720"/>
      <c r="P433" s="720"/>
      <c r="Q433" s="720"/>
      <c r="R433" s="720"/>
      <c r="S433" s="720"/>
      <c r="T433" s="720"/>
      <c r="U433" s="720"/>
      <c r="V433" s="720"/>
      <c r="W433" s="720"/>
      <c r="X433" s="720"/>
      <c r="Y433" s="720"/>
      <c r="Z433" s="720"/>
      <c r="AA433" s="720"/>
      <c r="AB433" s="720"/>
    </row>
    <row r="434" spans="1:28" ht="12.75" customHeight="1">
      <c r="A434" s="902"/>
      <c r="B434" s="903"/>
      <c r="C434" s="720"/>
      <c r="D434" s="720"/>
      <c r="E434" s="720"/>
      <c r="F434" s="720"/>
      <c r="G434" s="906"/>
      <c r="H434" s="720"/>
      <c r="I434" s="720"/>
      <c r="J434" s="720"/>
      <c r="K434" s="907"/>
      <c r="L434" s="720"/>
      <c r="M434" s="720"/>
      <c r="N434" s="720"/>
      <c r="O434" s="720"/>
      <c r="P434" s="720"/>
      <c r="Q434" s="720"/>
      <c r="R434" s="720"/>
      <c r="S434" s="720"/>
      <c r="T434" s="720"/>
      <c r="U434" s="720"/>
      <c r="V434" s="720"/>
      <c r="W434" s="720"/>
      <c r="X434" s="720"/>
      <c r="Y434" s="720"/>
      <c r="Z434" s="720"/>
      <c r="AA434" s="720"/>
      <c r="AB434" s="720"/>
    </row>
    <row r="435" spans="1:28" ht="12.75" customHeight="1">
      <c r="A435" s="902"/>
      <c r="B435" s="903"/>
      <c r="C435" s="720"/>
      <c r="D435" s="720"/>
      <c r="E435" s="720"/>
      <c r="F435" s="720"/>
      <c r="G435" s="906"/>
      <c r="H435" s="720"/>
      <c r="I435" s="720"/>
      <c r="J435" s="720"/>
      <c r="K435" s="907"/>
      <c r="L435" s="720"/>
      <c r="M435" s="720"/>
      <c r="N435" s="720"/>
      <c r="O435" s="720"/>
      <c r="P435" s="720"/>
      <c r="Q435" s="720"/>
      <c r="R435" s="720"/>
      <c r="S435" s="720"/>
      <c r="T435" s="720"/>
      <c r="U435" s="720"/>
      <c r="V435" s="720"/>
      <c r="W435" s="720"/>
      <c r="X435" s="720"/>
      <c r="Y435" s="720"/>
      <c r="Z435" s="720"/>
      <c r="AA435" s="720"/>
      <c r="AB435" s="720"/>
    </row>
    <row r="436" spans="1:28" ht="12.75" customHeight="1">
      <c r="A436" s="902"/>
      <c r="B436" s="903"/>
      <c r="C436" s="720"/>
      <c r="D436" s="720"/>
      <c r="E436" s="720"/>
      <c r="F436" s="720"/>
      <c r="G436" s="906"/>
      <c r="H436" s="720"/>
      <c r="I436" s="720"/>
      <c r="J436" s="720"/>
      <c r="K436" s="907"/>
      <c r="L436" s="720"/>
      <c r="M436" s="720"/>
      <c r="N436" s="720"/>
      <c r="O436" s="720"/>
      <c r="P436" s="720"/>
      <c r="Q436" s="720"/>
      <c r="R436" s="720"/>
      <c r="S436" s="720"/>
      <c r="T436" s="720"/>
      <c r="U436" s="720"/>
      <c r="V436" s="720"/>
      <c r="W436" s="720"/>
      <c r="X436" s="720"/>
      <c r="Y436" s="720"/>
      <c r="Z436" s="720"/>
      <c r="AA436" s="720"/>
      <c r="AB436" s="720"/>
    </row>
    <row r="437" spans="1:28" ht="12.75" customHeight="1">
      <c r="A437" s="902"/>
      <c r="B437" s="903"/>
      <c r="C437" s="720"/>
      <c r="D437" s="720"/>
      <c r="E437" s="720"/>
      <c r="F437" s="720"/>
      <c r="G437" s="906"/>
      <c r="H437" s="720"/>
      <c r="I437" s="720"/>
      <c r="J437" s="720"/>
      <c r="K437" s="907"/>
      <c r="L437" s="720"/>
      <c r="M437" s="720"/>
      <c r="N437" s="720"/>
      <c r="O437" s="720"/>
      <c r="P437" s="720"/>
      <c r="Q437" s="720"/>
      <c r="R437" s="720"/>
      <c r="S437" s="720"/>
      <c r="T437" s="720"/>
      <c r="U437" s="720"/>
      <c r="V437" s="720"/>
      <c r="W437" s="720"/>
      <c r="X437" s="720"/>
      <c r="Y437" s="720"/>
      <c r="Z437" s="720"/>
      <c r="AA437" s="720"/>
      <c r="AB437" s="720"/>
    </row>
    <row r="438" spans="1:28" ht="12.75" customHeight="1">
      <c r="A438" s="902"/>
      <c r="B438" s="903"/>
      <c r="C438" s="720"/>
      <c r="D438" s="720"/>
      <c r="E438" s="720"/>
      <c r="F438" s="720"/>
      <c r="G438" s="906"/>
      <c r="H438" s="720"/>
      <c r="I438" s="720"/>
      <c r="J438" s="720"/>
      <c r="K438" s="907"/>
      <c r="L438" s="720"/>
      <c r="M438" s="720"/>
      <c r="N438" s="720"/>
      <c r="O438" s="720"/>
      <c r="P438" s="720"/>
      <c r="Q438" s="720"/>
      <c r="R438" s="720"/>
      <c r="S438" s="720"/>
      <c r="T438" s="720"/>
      <c r="U438" s="720"/>
      <c r="V438" s="720"/>
      <c r="W438" s="720"/>
      <c r="X438" s="720"/>
      <c r="Y438" s="720"/>
      <c r="Z438" s="720"/>
      <c r="AA438" s="720"/>
      <c r="AB438" s="720"/>
    </row>
    <row r="439" spans="1:28" ht="12.75" customHeight="1">
      <c r="A439" s="902"/>
      <c r="B439" s="903"/>
      <c r="C439" s="720"/>
      <c r="D439" s="720"/>
      <c r="E439" s="720"/>
      <c r="F439" s="720"/>
      <c r="G439" s="906"/>
      <c r="H439" s="720"/>
      <c r="I439" s="720"/>
      <c r="J439" s="720"/>
      <c r="K439" s="907"/>
      <c r="L439" s="720"/>
      <c r="M439" s="720"/>
      <c r="N439" s="720"/>
      <c r="O439" s="720"/>
      <c r="P439" s="720"/>
      <c r="Q439" s="720"/>
      <c r="R439" s="720"/>
      <c r="S439" s="720"/>
      <c r="T439" s="720"/>
      <c r="U439" s="720"/>
      <c r="V439" s="720"/>
      <c r="W439" s="720"/>
      <c r="X439" s="720"/>
      <c r="Y439" s="720"/>
      <c r="Z439" s="720"/>
      <c r="AA439" s="720"/>
      <c r="AB439" s="720"/>
    </row>
    <row r="440" spans="1:28" ht="12.75" customHeight="1">
      <c r="A440" s="902"/>
      <c r="B440" s="903"/>
      <c r="C440" s="720"/>
      <c r="D440" s="720"/>
      <c r="E440" s="720"/>
      <c r="F440" s="720"/>
      <c r="G440" s="906"/>
      <c r="H440" s="720"/>
      <c r="I440" s="720"/>
      <c r="J440" s="720"/>
      <c r="K440" s="907"/>
      <c r="L440" s="720"/>
      <c r="M440" s="720"/>
      <c r="N440" s="720"/>
      <c r="O440" s="720"/>
      <c r="P440" s="720"/>
      <c r="Q440" s="720"/>
      <c r="R440" s="720"/>
      <c r="S440" s="720"/>
      <c r="T440" s="720"/>
      <c r="U440" s="720"/>
      <c r="V440" s="720"/>
      <c r="W440" s="720"/>
      <c r="X440" s="720"/>
      <c r="Y440" s="720"/>
      <c r="Z440" s="720"/>
      <c r="AA440" s="720"/>
      <c r="AB440" s="720"/>
    </row>
    <row r="441" spans="1:28" ht="12.75" customHeight="1">
      <c r="A441" s="902"/>
      <c r="B441" s="903"/>
      <c r="C441" s="720"/>
      <c r="D441" s="720"/>
      <c r="E441" s="720"/>
      <c r="F441" s="720"/>
      <c r="G441" s="906"/>
      <c r="H441" s="720"/>
      <c r="I441" s="720"/>
      <c r="J441" s="720"/>
      <c r="K441" s="907"/>
      <c r="L441" s="720"/>
      <c r="M441" s="720"/>
      <c r="N441" s="720"/>
      <c r="O441" s="720"/>
      <c r="P441" s="720"/>
      <c r="Q441" s="720"/>
      <c r="R441" s="720"/>
      <c r="S441" s="720"/>
      <c r="T441" s="720"/>
      <c r="U441" s="720"/>
      <c r="V441" s="720"/>
      <c r="W441" s="720"/>
      <c r="X441" s="720"/>
      <c r="Y441" s="720"/>
      <c r="Z441" s="720"/>
      <c r="AA441" s="720"/>
      <c r="AB441" s="720"/>
    </row>
    <row r="442" spans="1:28" ht="12.75" customHeight="1">
      <c r="A442" s="902"/>
      <c r="B442" s="903"/>
      <c r="C442" s="720"/>
      <c r="D442" s="720"/>
      <c r="E442" s="720"/>
      <c r="F442" s="720"/>
      <c r="G442" s="906"/>
      <c r="H442" s="720"/>
      <c r="I442" s="720"/>
      <c r="J442" s="720"/>
      <c r="K442" s="907"/>
      <c r="L442" s="720"/>
      <c r="M442" s="720"/>
      <c r="N442" s="720"/>
      <c r="O442" s="720"/>
      <c r="P442" s="720"/>
      <c r="Q442" s="720"/>
      <c r="R442" s="720"/>
      <c r="S442" s="720"/>
      <c r="T442" s="720"/>
      <c r="U442" s="720"/>
      <c r="V442" s="720"/>
      <c r="W442" s="720"/>
      <c r="X442" s="720"/>
      <c r="Y442" s="720"/>
      <c r="Z442" s="720"/>
      <c r="AA442" s="720"/>
      <c r="AB442" s="720"/>
    </row>
    <row r="443" spans="1:28" ht="12.75" customHeight="1">
      <c r="A443" s="902"/>
      <c r="B443" s="903"/>
      <c r="C443" s="720"/>
      <c r="D443" s="720"/>
      <c r="E443" s="720"/>
      <c r="F443" s="720"/>
      <c r="G443" s="906"/>
      <c r="H443" s="720"/>
      <c r="I443" s="720"/>
      <c r="J443" s="720"/>
      <c r="K443" s="907"/>
      <c r="L443" s="720"/>
      <c r="M443" s="720"/>
      <c r="N443" s="720"/>
      <c r="O443" s="720"/>
      <c r="P443" s="720"/>
      <c r="Q443" s="720"/>
      <c r="R443" s="720"/>
      <c r="S443" s="720"/>
      <c r="T443" s="720"/>
      <c r="U443" s="720"/>
      <c r="V443" s="720"/>
      <c r="W443" s="720"/>
      <c r="X443" s="720"/>
      <c r="Y443" s="720"/>
      <c r="Z443" s="720"/>
      <c r="AA443" s="720"/>
      <c r="AB443" s="720"/>
    </row>
    <row r="444" spans="1:28" ht="12.75" customHeight="1">
      <c r="A444" s="902"/>
      <c r="B444" s="903"/>
      <c r="C444" s="720"/>
      <c r="D444" s="720"/>
      <c r="E444" s="720"/>
      <c r="F444" s="720"/>
      <c r="G444" s="906"/>
      <c r="H444" s="720"/>
      <c r="I444" s="720"/>
      <c r="J444" s="720"/>
      <c r="K444" s="907"/>
      <c r="L444" s="720"/>
      <c r="M444" s="720"/>
      <c r="N444" s="720"/>
      <c r="O444" s="720"/>
      <c r="P444" s="720"/>
      <c r="Q444" s="720"/>
      <c r="R444" s="720"/>
      <c r="S444" s="720"/>
      <c r="T444" s="720"/>
      <c r="U444" s="720"/>
      <c r="V444" s="720"/>
      <c r="W444" s="720"/>
      <c r="X444" s="720"/>
      <c r="Y444" s="720"/>
      <c r="Z444" s="720"/>
      <c r="AA444" s="720"/>
      <c r="AB444" s="720"/>
    </row>
    <row r="445" spans="1:28" ht="12.75" customHeight="1">
      <c r="A445" s="902"/>
      <c r="B445" s="903"/>
      <c r="C445" s="720"/>
      <c r="D445" s="720"/>
      <c r="E445" s="720"/>
      <c r="F445" s="720"/>
      <c r="G445" s="906"/>
      <c r="H445" s="720"/>
      <c r="I445" s="720"/>
      <c r="J445" s="720"/>
      <c r="K445" s="907"/>
      <c r="L445" s="720"/>
      <c r="M445" s="720"/>
      <c r="N445" s="720"/>
      <c r="O445" s="720"/>
      <c r="P445" s="720"/>
      <c r="Q445" s="720"/>
      <c r="R445" s="720"/>
      <c r="S445" s="720"/>
      <c r="T445" s="720"/>
      <c r="U445" s="720"/>
      <c r="V445" s="720"/>
      <c r="W445" s="720"/>
      <c r="X445" s="720"/>
      <c r="Y445" s="720"/>
      <c r="Z445" s="720"/>
      <c r="AA445" s="720"/>
      <c r="AB445" s="720"/>
    </row>
    <row r="446" spans="1:28" ht="12.75" customHeight="1">
      <c r="A446" s="902"/>
      <c r="B446" s="903"/>
      <c r="C446" s="720"/>
      <c r="D446" s="720"/>
      <c r="E446" s="720"/>
      <c r="F446" s="720"/>
      <c r="G446" s="906"/>
      <c r="H446" s="720"/>
      <c r="I446" s="720"/>
      <c r="J446" s="720"/>
      <c r="K446" s="907"/>
      <c r="L446" s="720"/>
      <c r="M446" s="720"/>
      <c r="N446" s="720"/>
      <c r="O446" s="720"/>
      <c r="P446" s="720"/>
      <c r="Q446" s="720"/>
      <c r="R446" s="720"/>
      <c r="S446" s="720"/>
      <c r="T446" s="720"/>
      <c r="U446" s="720"/>
      <c r="V446" s="720"/>
      <c r="W446" s="720"/>
      <c r="X446" s="720"/>
      <c r="Y446" s="720"/>
      <c r="Z446" s="720"/>
      <c r="AA446" s="720"/>
      <c r="AB446" s="720"/>
    </row>
    <row r="447" spans="1:28" ht="12.75" customHeight="1">
      <c r="A447" s="902"/>
      <c r="B447" s="903"/>
      <c r="C447" s="720"/>
      <c r="D447" s="720"/>
      <c r="E447" s="720"/>
      <c r="F447" s="720"/>
      <c r="G447" s="906"/>
      <c r="H447" s="720"/>
      <c r="I447" s="720"/>
      <c r="J447" s="720"/>
      <c r="K447" s="907"/>
      <c r="L447" s="720"/>
      <c r="M447" s="720"/>
      <c r="N447" s="720"/>
      <c r="O447" s="720"/>
      <c r="P447" s="720"/>
      <c r="Q447" s="720"/>
      <c r="R447" s="720"/>
      <c r="S447" s="720"/>
      <c r="T447" s="720"/>
      <c r="U447" s="720"/>
      <c r="V447" s="720"/>
      <c r="W447" s="720"/>
      <c r="X447" s="720"/>
      <c r="Y447" s="720"/>
      <c r="Z447" s="720"/>
      <c r="AA447" s="720"/>
      <c r="AB447" s="720"/>
    </row>
    <row r="448" spans="1:28" ht="12.75" customHeight="1">
      <c r="A448" s="902"/>
      <c r="B448" s="903"/>
      <c r="C448" s="720"/>
      <c r="D448" s="720"/>
      <c r="E448" s="720"/>
      <c r="F448" s="720"/>
      <c r="G448" s="906"/>
      <c r="H448" s="720"/>
      <c r="I448" s="720"/>
      <c r="J448" s="720"/>
      <c r="K448" s="907"/>
      <c r="L448" s="720"/>
      <c r="M448" s="720"/>
      <c r="N448" s="720"/>
      <c r="O448" s="720"/>
      <c r="P448" s="720"/>
      <c r="Q448" s="720"/>
      <c r="R448" s="720"/>
      <c r="S448" s="720"/>
      <c r="T448" s="720"/>
      <c r="U448" s="720"/>
      <c r="V448" s="720"/>
      <c r="W448" s="720"/>
      <c r="X448" s="720"/>
      <c r="Y448" s="720"/>
      <c r="Z448" s="720"/>
      <c r="AA448" s="720"/>
      <c r="AB448" s="720"/>
    </row>
    <row r="449" spans="1:28" ht="12.75" customHeight="1">
      <c r="A449" s="902"/>
      <c r="B449" s="903"/>
      <c r="C449" s="720"/>
      <c r="D449" s="720"/>
      <c r="E449" s="720"/>
      <c r="F449" s="720"/>
      <c r="G449" s="906"/>
      <c r="H449" s="720"/>
      <c r="I449" s="720"/>
      <c r="J449" s="720"/>
      <c r="K449" s="907"/>
      <c r="L449" s="720"/>
      <c r="M449" s="720"/>
      <c r="N449" s="720"/>
      <c r="O449" s="720"/>
      <c r="P449" s="720"/>
      <c r="Q449" s="720"/>
      <c r="R449" s="720"/>
      <c r="S449" s="720"/>
      <c r="T449" s="720"/>
      <c r="U449" s="720"/>
      <c r="V449" s="720"/>
      <c r="W449" s="720"/>
      <c r="X449" s="720"/>
      <c r="Y449" s="720"/>
      <c r="Z449" s="720"/>
      <c r="AA449" s="720"/>
      <c r="AB449" s="720"/>
    </row>
    <row r="450" spans="1:28" ht="12.75" customHeight="1">
      <c r="A450" s="902"/>
      <c r="B450" s="903"/>
      <c r="C450" s="720"/>
      <c r="D450" s="720"/>
      <c r="E450" s="720"/>
      <c r="F450" s="720"/>
      <c r="G450" s="906"/>
      <c r="H450" s="720"/>
      <c r="I450" s="720"/>
      <c r="J450" s="720"/>
      <c r="K450" s="907"/>
      <c r="L450" s="720"/>
      <c r="M450" s="720"/>
      <c r="N450" s="720"/>
      <c r="O450" s="720"/>
      <c r="P450" s="720"/>
      <c r="Q450" s="720"/>
      <c r="R450" s="720"/>
      <c r="S450" s="720"/>
      <c r="T450" s="720"/>
      <c r="U450" s="720"/>
      <c r="V450" s="720"/>
      <c r="W450" s="720"/>
      <c r="X450" s="720"/>
      <c r="Y450" s="720"/>
      <c r="Z450" s="720"/>
      <c r="AA450" s="720"/>
      <c r="AB450" s="720"/>
    </row>
    <row r="451" spans="1:28" ht="12.75" customHeight="1">
      <c r="A451" s="902"/>
      <c r="B451" s="903"/>
      <c r="C451" s="720"/>
      <c r="D451" s="720"/>
      <c r="E451" s="720"/>
      <c r="F451" s="720"/>
      <c r="G451" s="906"/>
      <c r="H451" s="720"/>
      <c r="I451" s="720"/>
      <c r="J451" s="720"/>
      <c r="K451" s="907"/>
      <c r="L451" s="720"/>
      <c r="M451" s="720"/>
      <c r="N451" s="720"/>
      <c r="O451" s="720"/>
      <c r="P451" s="720"/>
      <c r="Q451" s="720"/>
      <c r="R451" s="720"/>
      <c r="S451" s="720"/>
      <c r="T451" s="720"/>
      <c r="U451" s="720"/>
      <c r="V451" s="720"/>
      <c r="W451" s="720"/>
      <c r="X451" s="720"/>
      <c r="Y451" s="720"/>
      <c r="Z451" s="720"/>
      <c r="AA451" s="720"/>
      <c r="AB451" s="720"/>
    </row>
    <row r="452" spans="1:28" ht="12.75" customHeight="1">
      <c r="A452" s="902"/>
      <c r="B452" s="903"/>
      <c r="C452" s="720"/>
      <c r="D452" s="720"/>
      <c r="E452" s="720"/>
      <c r="F452" s="720"/>
      <c r="G452" s="906"/>
      <c r="H452" s="720"/>
      <c r="I452" s="720"/>
      <c r="J452" s="720"/>
      <c r="K452" s="907"/>
      <c r="L452" s="720"/>
      <c r="M452" s="720"/>
      <c r="N452" s="720"/>
      <c r="O452" s="720"/>
      <c r="P452" s="720"/>
      <c r="Q452" s="720"/>
      <c r="R452" s="720"/>
      <c r="S452" s="720"/>
      <c r="T452" s="720"/>
      <c r="U452" s="720"/>
      <c r="V452" s="720"/>
      <c r="W452" s="720"/>
      <c r="X452" s="720"/>
      <c r="Y452" s="720"/>
      <c r="Z452" s="720"/>
      <c r="AA452" s="720"/>
      <c r="AB452" s="720"/>
    </row>
    <row r="453" spans="1:28" ht="12.75" customHeight="1">
      <c r="A453" s="902"/>
      <c r="B453" s="903"/>
      <c r="C453" s="720"/>
      <c r="D453" s="720"/>
      <c r="E453" s="720"/>
      <c r="F453" s="720"/>
      <c r="G453" s="906"/>
      <c r="H453" s="720"/>
      <c r="I453" s="720"/>
      <c r="J453" s="720"/>
      <c r="K453" s="907"/>
      <c r="L453" s="720"/>
      <c r="M453" s="720"/>
      <c r="N453" s="720"/>
      <c r="O453" s="720"/>
      <c r="P453" s="720"/>
      <c r="Q453" s="720"/>
      <c r="R453" s="720"/>
      <c r="S453" s="720"/>
      <c r="T453" s="720"/>
      <c r="U453" s="720"/>
      <c r="V453" s="720"/>
      <c r="W453" s="720"/>
      <c r="X453" s="720"/>
      <c r="Y453" s="720"/>
      <c r="Z453" s="720"/>
      <c r="AA453" s="720"/>
      <c r="AB453" s="720"/>
    </row>
    <row r="454" spans="1:28" ht="12.75" customHeight="1">
      <c r="A454" s="902"/>
      <c r="B454" s="903"/>
      <c r="C454" s="720"/>
      <c r="D454" s="720"/>
      <c r="E454" s="720"/>
      <c r="F454" s="720"/>
      <c r="G454" s="906"/>
      <c r="H454" s="720"/>
      <c r="I454" s="720"/>
      <c r="J454" s="720"/>
      <c r="K454" s="907"/>
      <c r="L454" s="720"/>
      <c r="M454" s="720"/>
      <c r="N454" s="720"/>
      <c r="O454" s="720"/>
      <c r="P454" s="720"/>
      <c r="Q454" s="720"/>
      <c r="R454" s="720"/>
      <c r="S454" s="720"/>
      <c r="T454" s="720"/>
      <c r="U454" s="720"/>
      <c r="V454" s="720"/>
      <c r="W454" s="720"/>
      <c r="X454" s="720"/>
      <c r="Y454" s="720"/>
      <c r="Z454" s="720"/>
      <c r="AA454" s="720"/>
      <c r="AB454" s="720"/>
    </row>
    <row r="455" spans="1:28" ht="12.75" customHeight="1">
      <c r="A455" s="902"/>
      <c r="B455" s="903"/>
      <c r="C455" s="720"/>
      <c r="D455" s="720"/>
      <c r="E455" s="720"/>
      <c r="F455" s="720"/>
      <c r="G455" s="906"/>
      <c r="H455" s="720"/>
      <c r="I455" s="720"/>
      <c r="J455" s="720"/>
      <c r="K455" s="907"/>
      <c r="L455" s="720"/>
      <c r="M455" s="720"/>
      <c r="N455" s="720"/>
      <c r="O455" s="720"/>
      <c r="P455" s="720"/>
      <c r="Q455" s="720"/>
      <c r="R455" s="720"/>
      <c r="S455" s="720"/>
      <c r="T455" s="720"/>
      <c r="U455" s="720"/>
      <c r="V455" s="720"/>
      <c r="W455" s="720"/>
      <c r="X455" s="720"/>
      <c r="Y455" s="720"/>
      <c r="Z455" s="720"/>
      <c r="AA455" s="720"/>
      <c r="AB455" s="720"/>
    </row>
    <row r="456" spans="1:28" ht="12.75" customHeight="1">
      <c r="A456" s="902"/>
      <c r="B456" s="903"/>
      <c r="C456" s="720"/>
      <c r="D456" s="720"/>
      <c r="E456" s="720"/>
      <c r="F456" s="720"/>
      <c r="G456" s="906"/>
      <c r="H456" s="720"/>
      <c r="I456" s="720"/>
      <c r="J456" s="720"/>
      <c r="K456" s="907"/>
      <c r="L456" s="720"/>
      <c r="M456" s="720"/>
      <c r="N456" s="720"/>
      <c r="O456" s="720"/>
      <c r="P456" s="720"/>
      <c r="Q456" s="720"/>
      <c r="R456" s="720"/>
      <c r="S456" s="720"/>
      <c r="T456" s="720"/>
      <c r="U456" s="720"/>
      <c r="V456" s="720"/>
      <c r="W456" s="720"/>
      <c r="X456" s="720"/>
      <c r="Y456" s="720"/>
      <c r="Z456" s="720"/>
      <c r="AA456" s="720"/>
      <c r="AB456" s="720"/>
    </row>
    <row r="457" spans="1:28" ht="12.75" customHeight="1">
      <c r="A457" s="902"/>
      <c r="B457" s="903"/>
      <c r="C457" s="720"/>
      <c r="D457" s="720"/>
      <c r="E457" s="720"/>
      <c r="F457" s="720"/>
      <c r="G457" s="906"/>
      <c r="H457" s="720"/>
      <c r="I457" s="720"/>
      <c r="J457" s="720"/>
      <c r="K457" s="907"/>
      <c r="L457" s="720"/>
      <c r="M457" s="720"/>
      <c r="N457" s="720"/>
      <c r="O457" s="720"/>
      <c r="P457" s="720"/>
      <c r="Q457" s="720"/>
      <c r="R457" s="720"/>
      <c r="S457" s="720"/>
      <c r="T457" s="720"/>
      <c r="U457" s="720"/>
      <c r="V457" s="720"/>
      <c r="W457" s="720"/>
      <c r="X457" s="720"/>
      <c r="Y457" s="720"/>
      <c r="Z457" s="720"/>
      <c r="AA457" s="720"/>
      <c r="AB457" s="720"/>
    </row>
    <row r="458" spans="1:28" ht="12.75" customHeight="1">
      <c r="A458" s="902"/>
      <c r="B458" s="903"/>
      <c r="C458" s="720"/>
      <c r="D458" s="720"/>
      <c r="E458" s="720"/>
      <c r="F458" s="720"/>
      <c r="G458" s="906"/>
      <c r="H458" s="720"/>
      <c r="I458" s="720"/>
      <c r="J458" s="720"/>
      <c r="K458" s="907"/>
      <c r="L458" s="720"/>
      <c r="M458" s="720"/>
      <c r="N458" s="720"/>
      <c r="O458" s="720"/>
      <c r="P458" s="720"/>
      <c r="Q458" s="720"/>
      <c r="R458" s="720"/>
      <c r="S458" s="720"/>
      <c r="T458" s="720"/>
      <c r="U458" s="720"/>
      <c r="V458" s="720"/>
      <c r="W458" s="720"/>
      <c r="X458" s="720"/>
      <c r="Y458" s="720"/>
      <c r="Z458" s="720"/>
      <c r="AA458" s="720"/>
      <c r="AB458" s="720"/>
    </row>
    <row r="459" spans="1:28" ht="12.75" customHeight="1">
      <c r="A459" s="902"/>
      <c r="B459" s="903"/>
      <c r="C459" s="720"/>
      <c r="D459" s="720"/>
      <c r="E459" s="720"/>
      <c r="F459" s="720"/>
      <c r="G459" s="906"/>
      <c r="H459" s="720"/>
      <c r="I459" s="720"/>
      <c r="J459" s="720"/>
      <c r="K459" s="907"/>
      <c r="L459" s="720"/>
      <c r="M459" s="720"/>
      <c r="N459" s="720"/>
      <c r="O459" s="720"/>
      <c r="P459" s="720"/>
      <c r="Q459" s="720"/>
      <c r="R459" s="720"/>
      <c r="S459" s="720"/>
      <c r="T459" s="720"/>
      <c r="U459" s="720"/>
      <c r="V459" s="720"/>
      <c r="W459" s="720"/>
      <c r="X459" s="720"/>
      <c r="Y459" s="720"/>
      <c r="Z459" s="720"/>
      <c r="AA459" s="720"/>
      <c r="AB459" s="720"/>
    </row>
    <row r="460" spans="1:28" ht="12.75" customHeight="1">
      <c r="A460" s="902"/>
      <c r="B460" s="903"/>
      <c r="C460" s="720"/>
      <c r="D460" s="720"/>
      <c r="E460" s="720"/>
      <c r="F460" s="720"/>
      <c r="G460" s="906"/>
      <c r="H460" s="720"/>
      <c r="I460" s="720"/>
      <c r="J460" s="720"/>
      <c r="K460" s="907"/>
      <c r="L460" s="720"/>
      <c r="M460" s="720"/>
      <c r="N460" s="720"/>
      <c r="O460" s="720"/>
      <c r="P460" s="720"/>
      <c r="Q460" s="720"/>
      <c r="R460" s="720"/>
      <c r="S460" s="720"/>
      <c r="T460" s="720"/>
      <c r="U460" s="720"/>
      <c r="V460" s="720"/>
      <c r="W460" s="720"/>
      <c r="X460" s="720"/>
      <c r="Y460" s="720"/>
      <c r="Z460" s="720"/>
      <c r="AA460" s="720"/>
      <c r="AB460" s="720"/>
    </row>
    <row r="461" spans="1:28" ht="12.75" customHeight="1">
      <c r="A461" s="902"/>
      <c r="B461" s="903"/>
      <c r="C461" s="720"/>
      <c r="D461" s="720"/>
      <c r="E461" s="720"/>
      <c r="F461" s="720"/>
      <c r="G461" s="906"/>
      <c r="H461" s="720"/>
      <c r="I461" s="720"/>
      <c r="J461" s="720"/>
      <c r="K461" s="907"/>
      <c r="L461" s="720"/>
      <c r="M461" s="720"/>
      <c r="N461" s="720"/>
      <c r="O461" s="720"/>
      <c r="P461" s="720"/>
      <c r="Q461" s="720"/>
      <c r="R461" s="720"/>
      <c r="S461" s="720"/>
      <c r="T461" s="720"/>
      <c r="U461" s="720"/>
      <c r="V461" s="720"/>
      <c r="W461" s="720"/>
      <c r="X461" s="720"/>
      <c r="Y461" s="720"/>
      <c r="Z461" s="720"/>
      <c r="AA461" s="720"/>
      <c r="AB461" s="720"/>
    </row>
    <row r="462" spans="1:28" ht="12.75" customHeight="1">
      <c r="A462" s="902"/>
      <c r="B462" s="903"/>
      <c r="C462" s="720"/>
      <c r="D462" s="720"/>
      <c r="E462" s="720"/>
      <c r="F462" s="720"/>
      <c r="G462" s="906"/>
      <c r="H462" s="720"/>
      <c r="I462" s="720"/>
      <c r="J462" s="720"/>
      <c r="K462" s="907"/>
      <c r="L462" s="720"/>
      <c r="M462" s="720"/>
      <c r="N462" s="720"/>
      <c r="O462" s="720"/>
      <c r="P462" s="720"/>
      <c r="Q462" s="720"/>
      <c r="R462" s="720"/>
      <c r="S462" s="720"/>
      <c r="T462" s="720"/>
      <c r="U462" s="720"/>
      <c r="V462" s="720"/>
      <c r="W462" s="720"/>
      <c r="X462" s="720"/>
      <c r="Y462" s="720"/>
      <c r="Z462" s="720"/>
      <c r="AA462" s="720"/>
      <c r="AB462" s="720"/>
    </row>
    <row r="463" spans="1:28" ht="12.75" customHeight="1">
      <c r="A463" s="902"/>
      <c r="B463" s="903"/>
      <c r="C463" s="720"/>
      <c r="D463" s="720"/>
      <c r="E463" s="720"/>
      <c r="F463" s="720"/>
      <c r="G463" s="906"/>
      <c r="H463" s="720"/>
      <c r="I463" s="720"/>
      <c r="J463" s="720"/>
      <c r="K463" s="907"/>
      <c r="L463" s="720"/>
      <c r="M463" s="720"/>
      <c r="N463" s="720"/>
      <c r="O463" s="720"/>
      <c r="P463" s="720"/>
      <c r="Q463" s="720"/>
      <c r="R463" s="720"/>
      <c r="S463" s="720"/>
      <c r="T463" s="720"/>
      <c r="U463" s="720"/>
      <c r="V463" s="720"/>
      <c r="W463" s="720"/>
      <c r="X463" s="720"/>
      <c r="Y463" s="720"/>
      <c r="Z463" s="720"/>
      <c r="AA463" s="720"/>
      <c r="AB463" s="720"/>
    </row>
    <row r="464" spans="1:28" ht="12.75" customHeight="1">
      <c r="A464" s="902"/>
      <c r="B464" s="903"/>
      <c r="C464" s="720"/>
      <c r="D464" s="720"/>
      <c r="E464" s="720"/>
      <c r="F464" s="720"/>
      <c r="G464" s="906"/>
      <c r="H464" s="720"/>
      <c r="I464" s="720"/>
      <c r="J464" s="720"/>
      <c r="K464" s="907"/>
      <c r="L464" s="720"/>
      <c r="M464" s="720"/>
      <c r="N464" s="720"/>
      <c r="O464" s="720"/>
      <c r="P464" s="720"/>
      <c r="Q464" s="720"/>
      <c r="R464" s="720"/>
      <c r="S464" s="720"/>
      <c r="T464" s="720"/>
      <c r="U464" s="720"/>
      <c r="V464" s="720"/>
      <c r="W464" s="720"/>
      <c r="X464" s="720"/>
      <c r="Y464" s="720"/>
      <c r="Z464" s="720"/>
      <c r="AA464" s="720"/>
      <c r="AB464" s="720"/>
    </row>
    <row r="465" spans="1:28" ht="12.75" customHeight="1">
      <c r="A465" s="902"/>
      <c r="B465" s="903"/>
      <c r="C465" s="720"/>
      <c r="D465" s="720"/>
      <c r="E465" s="720"/>
      <c r="F465" s="720"/>
      <c r="G465" s="906"/>
      <c r="H465" s="720"/>
      <c r="I465" s="720"/>
      <c r="J465" s="720"/>
      <c r="K465" s="907"/>
      <c r="L465" s="720"/>
      <c r="M465" s="720"/>
      <c r="N465" s="720"/>
      <c r="O465" s="720"/>
      <c r="P465" s="720"/>
      <c r="Q465" s="720"/>
      <c r="R465" s="720"/>
      <c r="S465" s="720"/>
      <c r="T465" s="720"/>
      <c r="U465" s="720"/>
      <c r="V465" s="720"/>
      <c r="W465" s="720"/>
      <c r="X465" s="720"/>
      <c r="Y465" s="720"/>
      <c r="Z465" s="720"/>
      <c r="AA465" s="720"/>
      <c r="AB465" s="720"/>
    </row>
    <row r="466" spans="1:28" ht="12.75" customHeight="1">
      <c r="A466" s="902"/>
      <c r="B466" s="903"/>
      <c r="C466" s="720"/>
      <c r="D466" s="720"/>
      <c r="E466" s="720"/>
      <c r="F466" s="720"/>
      <c r="G466" s="906"/>
      <c r="H466" s="720"/>
      <c r="I466" s="720"/>
      <c r="J466" s="720"/>
      <c r="K466" s="907"/>
      <c r="L466" s="720"/>
      <c r="M466" s="720"/>
      <c r="N466" s="720"/>
      <c r="O466" s="720"/>
      <c r="P466" s="720"/>
      <c r="Q466" s="720"/>
      <c r="R466" s="720"/>
      <c r="S466" s="720"/>
      <c r="T466" s="720"/>
      <c r="U466" s="720"/>
      <c r="V466" s="720"/>
      <c r="W466" s="720"/>
      <c r="X466" s="720"/>
      <c r="Y466" s="720"/>
      <c r="Z466" s="720"/>
      <c r="AA466" s="720"/>
      <c r="AB466" s="720"/>
    </row>
    <row r="467" spans="1:28" ht="12.75" customHeight="1">
      <c r="A467" s="902"/>
      <c r="B467" s="903"/>
      <c r="C467" s="720"/>
      <c r="D467" s="720"/>
      <c r="E467" s="720"/>
      <c r="F467" s="720"/>
      <c r="G467" s="906"/>
      <c r="H467" s="720"/>
      <c r="I467" s="720"/>
      <c r="J467" s="720"/>
      <c r="K467" s="907"/>
      <c r="L467" s="720"/>
      <c r="M467" s="720"/>
      <c r="N467" s="720"/>
      <c r="O467" s="720"/>
      <c r="P467" s="720"/>
      <c r="Q467" s="720"/>
      <c r="R467" s="720"/>
      <c r="S467" s="720"/>
      <c r="T467" s="720"/>
      <c r="U467" s="720"/>
      <c r="V467" s="720"/>
      <c r="W467" s="720"/>
      <c r="X467" s="720"/>
      <c r="Y467" s="720"/>
      <c r="Z467" s="720"/>
      <c r="AA467" s="720"/>
      <c r="AB467" s="720"/>
    </row>
    <row r="468" spans="1:28" ht="12.75" customHeight="1">
      <c r="A468" s="902"/>
      <c r="B468" s="903"/>
      <c r="C468" s="720"/>
      <c r="D468" s="720"/>
      <c r="E468" s="720"/>
      <c r="F468" s="720"/>
      <c r="G468" s="906"/>
      <c r="H468" s="720"/>
      <c r="I468" s="720"/>
      <c r="J468" s="720"/>
      <c r="K468" s="907"/>
      <c r="L468" s="720"/>
      <c r="M468" s="720"/>
      <c r="N468" s="720"/>
      <c r="O468" s="720"/>
      <c r="P468" s="720"/>
      <c r="Q468" s="720"/>
      <c r="R468" s="720"/>
      <c r="S468" s="720"/>
      <c r="T468" s="720"/>
      <c r="U468" s="720"/>
      <c r="V468" s="720"/>
      <c r="W468" s="720"/>
      <c r="X468" s="720"/>
      <c r="Y468" s="720"/>
      <c r="Z468" s="720"/>
      <c r="AA468" s="720"/>
      <c r="AB468" s="720"/>
    </row>
    <row r="469" spans="1:28" ht="12.75" customHeight="1">
      <c r="A469" s="902"/>
      <c r="B469" s="903"/>
      <c r="C469" s="720"/>
      <c r="D469" s="720"/>
      <c r="E469" s="720"/>
      <c r="F469" s="720"/>
      <c r="G469" s="906"/>
      <c r="H469" s="720"/>
      <c r="I469" s="720"/>
      <c r="J469" s="720"/>
      <c r="K469" s="907"/>
      <c r="L469" s="720"/>
      <c r="M469" s="720"/>
      <c r="N469" s="720"/>
      <c r="O469" s="720"/>
      <c r="P469" s="720"/>
      <c r="Q469" s="720"/>
      <c r="R469" s="720"/>
      <c r="S469" s="720"/>
      <c r="T469" s="720"/>
      <c r="U469" s="720"/>
      <c r="V469" s="720"/>
      <c r="W469" s="720"/>
      <c r="X469" s="720"/>
      <c r="Y469" s="720"/>
      <c r="Z469" s="720"/>
      <c r="AA469" s="720"/>
      <c r="AB469" s="720"/>
    </row>
    <row r="470" spans="1:28" ht="12.75" customHeight="1">
      <c r="A470" s="902"/>
      <c r="B470" s="903"/>
      <c r="C470" s="720"/>
      <c r="D470" s="720"/>
      <c r="E470" s="720"/>
      <c r="F470" s="720"/>
      <c r="G470" s="906"/>
      <c r="H470" s="720"/>
      <c r="I470" s="720"/>
      <c r="J470" s="720"/>
      <c r="K470" s="907"/>
      <c r="L470" s="720"/>
      <c r="M470" s="720"/>
      <c r="N470" s="720"/>
      <c r="O470" s="720"/>
      <c r="P470" s="720"/>
      <c r="Q470" s="720"/>
      <c r="R470" s="720"/>
      <c r="S470" s="720"/>
      <c r="T470" s="720"/>
      <c r="U470" s="720"/>
      <c r="V470" s="720"/>
      <c r="W470" s="720"/>
      <c r="X470" s="720"/>
      <c r="Y470" s="720"/>
      <c r="Z470" s="720"/>
      <c r="AA470" s="720"/>
      <c r="AB470" s="720"/>
    </row>
    <row r="471" spans="1:28" ht="12.75" customHeight="1">
      <c r="A471" s="902"/>
      <c r="B471" s="903"/>
      <c r="C471" s="720"/>
      <c r="D471" s="720"/>
      <c r="E471" s="720"/>
      <c r="F471" s="720"/>
      <c r="G471" s="906"/>
      <c r="H471" s="720"/>
      <c r="I471" s="720"/>
      <c r="J471" s="720"/>
      <c r="K471" s="907"/>
      <c r="L471" s="720"/>
      <c r="M471" s="720"/>
      <c r="N471" s="720"/>
      <c r="O471" s="720"/>
      <c r="P471" s="720"/>
      <c r="Q471" s="720"/>
      <c r="R471" s="720"/>
      <c r="S471" s="720"/>
      <c r="T471" s="720"/>
      <c r="U471" s="720"/>
      <c r="V471" s="720"/>
      <c r="W471" s="720"/>
      <c r="X471" s="720"/>
      <c r="Y471" s="720"/>
      <c r="Z471" s="720"/>
      <c r="AA471" s="720"/>
      <c r="AB471" s="720"/>
    </row>
    <row r="472" spans="1:28" ht="12.75" customHeight="1">
      <c r="A472" s="902"/>
      <c r="B472" s="903"/>
      <c r="C472" s="720"/>
      <c r="D472" s="720"/>
      <c r="E472" s="720"/>
      <c r="F472" s="720"/>
      <c r="G472" s="906"/>
      <c r="H472" s="720"/>
      <c r="I472" s="720"/>
      <c r="J472" s="720"/>
      <c r="K472" s="907"/>
      <c r="L472" s="720"/>
      <c r="M472" s="720"/>
      <c r="N472" s="720"/>
      <c r="O472" s="720"/>
      <c r="P472" s="720"/>
      <c r="Q472" s="720"/>
      <c r="R472" s="720"/>
      <c r="S472" s="720"/>
      <c r="T472" s="720"/>
      <c r="U472" s="720"/>
      <c r="V472" s="720"/>
      <c r="W472" s="720"/>
      <c r="X472" s="720"/>
      <c r="Y472" s="720"/>
      <c r="Z472" s="720"/>
      <c r="AA472" s="720"/>
      <c r="AB472" s="720"/>
    </row>
    <row r="473" spans="1:28" ht="12.75" customHeight="1">
      <c r="A473" s="902"/>
      <c r="B473" s="903"/>
      <c r="C473" s="720"/>
      <c r="D473" s="720"/>
      <c r="E473" s="720"/>
      <c r="F473" s="720"/>
      <c r="G473" s="906"/>
      <c r="H473" s="720"/>
      <c r="I473" s="720"/>
      <c r="J473" s="720"/>
      <c r="K473" s="907"/>
      <c r="L473" s="720"/>
      <c r="M473" s="720"/>
      <c r="N473" s="720"/>
      <c r="O473" s="720"/>
      <c r="P473" s="720"/>
      <c r="Q473" s="720"/>
      <c r="R473" s="720"/>
      <c r="S473" s="720"/>
      <c r="T473" s="720"/>
      <c r="U473" s="720"/>
      <c r="V473" s="720"/>
      <c r="W473" s="720"/>
      <c r="X473" s="720"/>
      <c r="Y473" s="720"/>
      <c r="Z473" s="720"/>
      <c r="AA473" s="720"/>
      <c r="AB473" s="720"/>
    </row>
    <row r="474" spans="1:28" ht="12.75" customHeight="1">
      <c r="A474" s="902"/>
      <c r="B474" s="903"/>
      <c r="C474" s="720"/>
      <c r="D474" s="720"/>
      <c r="E474" s="720"/>
      <c r="F474" s="720"/>
      <c r="G474" s="906"/>
      <c r="H474" s="720"/>
      <c r="I474" s="720"/>
      <c r="J474" s="720"/>
      <c r="K474" s="907"/>
      <c r="L474" s="720"/>
      <c r="M474" s="720"/>
      <c r="N474" s="720"/>
      <c r="O474" s="720"/>
      <c r="P474" s="720"/>
      <c r="Q474" s="720"/>
      <c r="R474" s="720"/>
      <c r="S474" s="720"/>
      <c r="T474" s="720"/>
      <c r="U474" s="720"/>
      <c r="V474" s="720"/>
      <c r="W474" s="720"/>
      <c r="X474" s="720"/>
      <c r="Y474" s="720"/>
      <c r="Z474" s="720"/>
      <c r="AA474" s="720"/>
      <c r="AB474" s="720"/>
    </row>
    <row r="475" spans="1:28" ht="12.75" customHeight="1">
      <c r="A475" s="902"/>
      <c r="B475" s="903"/>
      <c r="C475" s="720"/>
      <c r="D475" s="720"/>
      <c r="E475" s="720"/>
      <c r="F475" s="720"/>
      <c r="G475" s="906"/>
      <c r="H475" s="720"/>
      <c r="I475" s="720"/>
      <c r="J475" s="720"/>
      <c r="K475" s="907"/>
      <c r="L475" s="720"/>
      <c r="M475" s="720"/>
      <c r="N475" s="720"/>
      <c r="O475" s="720"/>
      <c r="P475" s="720"/>
      <c r="Q475" s="720"/>
      <c r="R475" s="720"/>
      <c r="S475" s="720"/>
      <c r="T475" s="720"/>
      <c r="U475" s="720"/>
      <c r="V475" s="720"/>
      <c r="W475" s="720"/>
      <c r="X475" s="720"/>
      <c r="Y475" s="720"/>
      <c r="Z475" s="720"/>
      <c r="AA475" s="720"/>
      <c r="AB475" s="720"/>
    </row>
    <row r="476" spans="1:28" ht="12.75" customHeight="1">
      <c r="A476" s="902"/>
      <c r="B476" s="903"/>
      <c r="C476" s="720"/>
      <c r="D476" s="720"/>
      <c r="E476" s="720"/>
      <c r="F476" s="720"/>
      <c r="G476" s="906"/>
      <c r="H476" s="720"/>
      <c r="I476" s="720"/>
      <c r="J476" s="720"/>
      <c r="K476" s="907"/>
      <c r="L476" s="720"/>
      <c r="M476" s="720"/>
      <c r="N476" s="720"/>
      <c r="O476" s="720"/>
      <c r="P476" s="720"/>
      <c r="Q476" s="720"/>
      <c r="R476" s="720"/>
      <c r="S476" s="720"/>
      <c r="T476" s="720"/>
      <c r="U476" s="720"/>
      <c r="V476" s="720"/>
      <c r="W476" s="720"/>
      <c r="X476" s="720"/>
      <c r="Y476" s="720"/>
      <c r="Z476" s="720"/>
      <c r="AA476" s="720"/>
      <c r="AB476" s="720"/>
    </row>
    <row r="477" spans="1:28" ht="12.75" customHeight="1">
      <c r="A477" s="902"/>
      <c r="B477" s="903"/>
      <c r="C477" s="720"/>
      <c r="D477" s="720"/>
      <c r="E477" s="720"/>
      <c r="F477" s="720"/>
      <c r="G477" s="906"/>
      <c r="H477" s="720"/>
      <c r="I477" s="720"/>
      <c r="J477" s="720"/>
      <c r="K477" s="907"/>
      <c r="L477" s="720"/>
      <c r="M477" s="720"/>
      <c r="N477" s="720"/>
      <c r="O477" s="720"/>
      <c r="P477" s="720"/>
      <c r="Q477" s="720"/>
      <c r="R477" s="720"/>
      <c r="S477" s="720"/>
      <c r="T477" s="720"/>
      <c r="U477" s="720"/>
      <c r="V477" s="720"/>
      <c r="W477" s="720"/>
      <c r="X477" s="720"/>
      <c r="Y477" s="720"/>
      <c r="Z477" s="720"/>
      <c r="AA477" s="720"/>
      <c r="AB477" s="720"/>
    </row>
    <row r="478" spans="1:28" ht="12.75" customHeight="1">
      <c r="A478" s="902"/>
      <c r="B478" s="903"/>
      <c r="C478" s="720"/>
      <c r="D478" s="720"/>
      <c r="E478" s="720"/>
      <c r="F478" s="720"/>
      <c r="G478" s="906"/>
      <c r="H478" s="720"/>
      <c r="I478" s="720"/>
      <c r="J478" s="720"/>
      <c r="K478" s="907"/>
      <c r="L478" s="720"/>
      <c r="M478" s="720"/>
      <c r="N478" s="720"/>
      <c r="O478" s="720"/>
      <c r="P478" s="720"/>
      <c r="Q478" s="720"/>
      <c r="R478" s="720"/>
      <c r="S478" s="720"/>
      <c r="T478" s="720"/>
      <c r="U478" s="720"/>
      <c r="V478" s="720"/>
      <c r="W478" s="720"/>
      <c r="X478" s="720"/>
      <c r="Y478" s="720"/>
      <c r="Z478" s="720"/>
      <c r="AA478" s="720"/>
      <c r="AB478" s="720"/>
    </row>
    <row r="479" spans="1:28" ht="12.75" customHeight="1">
      <c r="A479" s="902"/>
      <c r="B479" s="903"/>
      <c r="C479" s="720"/>
      <c r="D479" s="720"/>
      <c r="E479" s="720"/>
      <c r="F479" s="720"/>
      <c r="G479" s="906"/>
      <c r="H479" s="720"/>
      <c r="I479" s="720"/>
      <c r="J479" s="720"/>
      <c r="K479" s="907"/>
      <c r="L479" s="720"/>
      <c r="M479" s="720"/>
      <c r="N479" s="720"/>
      <c r="O479" s="720"/>
      <c r="P479" s="720"/>
      <c r="Q479" s="720"/>
      <c r="R479" s="720"/>
      <c r="S479" s="720"/>
      <c r="T479" s="720"/>
      <c r="U479" s="720"/>
      <c r="V479" s="720"/>
      <c r="W479" s="720"/>
      <c r="X479" s="720"/>
      <c r="Y479" s="720"/>
      <c r="Z479" s="720"/>
      <c r="AA479" s="720"/>
      <c r="AB479" s="720"/>
    </row>
    <row r="480" spans="1:28" ht="12.75" customHeight="1">
      <c r="A480" s="902"/>
      <c r="B480" s="903"/>
      <c r="C480" s="720"/>
      <c r="D480" s="720"/>
      <c r="E480" s="720"/>
      <c r="F480" s="720"/>
      <c r="G480" s="906"/>
      <c r="H480" s="720"/>
      <c r="I480" s="720"/>
      <c r="J480" s="720"/>
      <c r="K480" s="907"/>
      <c r="L480" s="720"/>
      <c r="M480" s="720"/>
      <c r="N480" s="720"/>
      <c r="O480" s="720"/>
      <c r="P480" s="720"/>
      <c r="Q480" s="720"/>
      <c r="R480" s="720"/>
      <c r="S480" s="720"/>
      <c r="T480" s="720"/>
      <c r="U480" s="720"/>
      <c r="V480" s="720"/>
      <c r="W480" s="720"/>
      <c r="X480" s="720"/>
      <c r="Y480" s="720"/>
      <c r="Z480" s="720"/>
      <c r="AA480" s="720"/>
      <c r="AB480" s="720"/>
    </row>
    <row r="481" spans="1:28" ht="12.75" customHeight="1">
      <c r="A481" s="902"/>
      <c r="B481" s="903"/>
      <c r="C481" s="720"/>
      <c r="D481" s="720"/>
      <c r="E481" s="720"/>
      <c r="F481" s="720"/>
      <c r="G481" s="906"/>
      <c r="H481" s="720"/>
      <c r="I481" s="720"/>
      <c r="J481" s="720"/>
      <c r="K481" s="907"/>
      <c r="L481" s="720"/>
      <c r="M481" s="720"/>
      <c r="N481" s="720"/>
      <c r="O481" s="720"/>
      <c r="P481" s="720"/>
      <c r="Q481" s="720"/>
      <c r="R481" s="720"/>
      <c r="S481" s="720"/>
      <c r="T481" s="720"/>
      <c r="U481" s="720"/>
      <c r="V481" s="720"/>
      <c r="W481" s="720"/>
      <c r="X481" s="720"/>
      <c r="Y481" s="720"/>
      <c r="Z481" s="720"/>
      <c r="AA481" s="720"/>
      <c r="AB481" s="720"/>
    </row>
    <row r="482" spans="1:28" ht="12.75" customHeight="1">
      <c r="A482" s="902"/>
      <c r="B482" s="903"/>
      <c r="C482" s="720"/>
      <c r="D482" s="720"/>
      <c r="E482" s="720"/>
      <c r="F482" s="720"/>
      <c r="G482" s="906"/>
      <c r="H482" s="720"/>
      <c r="I482" s="720"/>
      <c r="J482" s="720"/>
      <c r="K482" s="907"/>
      <c r="L482" s="720"/>
      <c r="M482" s="720"/>
      <c r="N482" s="720"/>
      <c r="O482" s="720"/>
      <c r="P482" s="720"/>
      <c r="Q482" s="720"/>
      <c r="R482" s="720"/>
      <c r="S482" s="720"/>
      <c r="T482" s="720"/>
      <c r="U482" s="720"/>
      <c r="V482" s="720"/>
      <c r="W482" s="720"/>
      <c r="X482" s="720"/>
      <c r="Y482" s="720"/>
      <c r="Z482" s="720"/>
      <c r="AA482" s="720"/>
      <c r="AB482" s="720"/>
    </row>
    <row r="483" spans="1:28" ht="12.75" customHeight="1">
      <c r="A483" s="902"/>
      <c r="B483" s="903"/>
      <c r="C483" s="720"/>
      <c r="D483" s="720"/>
      <c r="E483" s="720"/>
      <c r="F483" s="720"/>
      <c r="G483" s="906"/>
      <c r="H483" s="720"/>
      <c r="I483" s="720"/>
      <c r="J483" s="720"/>
      <c r="K483" s="907"/>
      <c r="L483" s="720"/>
      <c r="M483" s="720"/>
      <c r="N483" s="720"/>
      <c r="O483" s="720"/>
      <c r="P483" s="720"/>
      <c r="Q483" s="720"/>
      <c r="R483" s="720"/>
      <c r="S483" s="720"/>
      <c r="T483" s="720"/>
      <c r="U483" s="720"/>
      <c r="V483" s="720"/>
      <c r="W483" s="720"/>
      <c r="X483" s="720"/>
      <c r="Y483" s="720"/>
      <c r="Z483" s="720"/>
      <c r="AA483" s="720"/>
      <c r="AB483" s="720"/>
    </row>
    <row r="484" spans="1:28" ht="12.75" customHeight="1">
      <c r="A484" s="902"/>
      <c r="B484" s="903"/>
      <c r="C484" s="720"/>
      <c r="D484" s="720"/>
      <c r="E484" s="720"/>
      <c r="F484" s="720"/>
      <c r="G484" s="906"/>
      <c r="H484" s="720"/>
      <c r="I484" s="720"/>
      <c r="J484" s="720"/>
      <c r="K484" s="907"/>
      <c r="L484" s="720"/>
      <c r="M484" s="720"/>
      <c r="N484" s="720"/>
      <c r="O484" s="720"/>
      <c r="P484" s="720"/>
      <c r="Q484" s="720"/>
      <c r="R484" s="720"/>
      <c r="S484" s="720"/>
      <c r="T484" s="720"/>
      <c r="U484" s="720"/>
      <c r="V484" s="720"/>
      <c r="W484" s="720"/>
      <c r="X484" s="720"/>
      <c r="Y484" s="720"/>
      <c r="Z484" s="720"/>
      <c r="AA484" s="720"/>
      <c r="AB484" s="720"/>
    </row>
    <row r="485" spans="1:28" ht="12.75" customHeight="1">
      <c r="A485" s="902"/>
      <c r="B485" s="903"/>
      <c r="C485" s="720"/>
      <c r="D485" s="720"/>
      <c r="E485" s="720"/>
      <c r="F485" s="720"/>
      <c r="G485" s="906"/>
      <c r="H485" s="720"/>
      <c r="I485" s="720"/>
      <c r="J485" s="720"/>
      <c r="K485" s="907"/>
      <c r="L485" s="720"/>
      <c r="M485" s="720"/>
      <c r="N485" s="720"/>
      <c r="O485" s="720"/>
      <c r="P485" s="720"/>
      <c r="Q485" s="720"/>
      <c r="R485" s="720"/>
      <c r="S485" s="720"/>
      <c r="T485" s="720"/>
      <c r="U485" s="720"/>
      <c r="V485" s="720"/>
      <c r="W485" s="720"/>
      <c r="X485" s="720"/>
      <c r="Y485" s="720"/>
      <c r="Z485" s="720"/>
      <c r="AA485" s="720"/>
      <c r="AB485" s="720"/>
    </row>
    <row r="486" spans="1:28" ht="12.75" customHeight="1">
      <c r="A486" s="902"/>
      <c r="B486" s="903"/>
      <c r="C486" s="720"/>
      <c r="D486" s="720"/>
      <c r="E486" s="720"/>
      <c r="F486" s="720"/>
      <c r="G486" s="906"/>
      <c r="H486" s="720"/>
      <c r="I486" s="720"/>
      <c r="J486" s="720"/>
      <c r="K486" s="907"/>
      <c r="L486" s="720"/>
      <c r="M486" s="720"/>
      <c r="N486" s="720"/>
      <c r="O486" s="720"/>
      <c r="P486" s="720"/>
      <c r="Q486" s="720"/>
      <c r="R486" s="720"/>
      <c r="S486" s="720"/>
      <c r="T486" s="720"/>
      <c r="U486" s="720"/>
      <c r="V486" s="720"/>
      <c r="W486" s="720"/>
      <c r="X486" s="720"/>
      <c r="Y486" s="720"/>
      <c r="Z486" s="720"/>
      <c r="AA486" s="720"/>
      <c r="AB486" s="720"/>
    </row>
    <row r="487" spans="1:28" ht="12.75" customHeight="1">
      <c r="A487" s="902"/>
      <c r="B487" s="903"/>
      <c r="C487" s="720"/>
      <c r="D487" s="720"/>
      <c r="E487" s="720"/>
      <c r="F487" s="720"/>
      <c r="G487" s="906"/>
      <c r="H487" s="720"/>
      <c r="I487" s="720"/>
      <c r="J487" s="720"/>
      <c r="K487" s="907"/>
      <c r="L487" s="720"/>
      <c r="M487" s="720"/>
      <c r="N487" s="720"/>
      <c r="O487" s="720"/>
      <c r="P487" s="720"/>
      <c r="Q487" s="720"/>
      <c r="R487" s="720"/>
      <c r="S487" s="720"/>
      <c r="T487" s="720"/>
      <c r="U487" s="720"/>
      <c r="V487" s="720"/>
      <c r="W487" s="720"/>
      <c r="X487" s="720"/>
      <c r="Y487" s="720"/>
      <c r="Z487" s="720"/>
      <c r="AA487" s="720"/>
      <c r="AB487" s="720"/>
    </row>
    <row r="488" spans="1:28" ht="12.75" customHeight="1">
      <c r="A488" s="902"/>
      <c r="B488" s="903"/>
      <c r="C488" s="720"/>
      <c r="D488" s="720"/>
      <c r="E488" s="720"/>
      <c r="F488" s="720"/>
      <c r="G488" s="906"/>
      <c r="H488" s="720"/>
      <c r="I488" s="720"/>
      <c r="J488" s="720"/>
      <c r="K488" s="907"/>
      <c r="L488" s="720"/>
      <c r="M488" s="720"/>
      <c r="N488" s="720"/>
      <c r="O488" s="720"/>
      <c r="P488" s="720"/>
      <c r="Q488" s="720"/>
      <c r="R488" s="720"/>
      <c r="S488" s="720"/>
      <c r="T488" s="720"/>
      <c r="U488" s="720"/>
      <c r="V488" s="720"/>
      <c r="W488" s="720"/>
      <c r="X488" s="720"/>
      <c r="Y488" s="720"/>
      <c r="Z488" s="720"/>
      <c r="AA488" s="720"/>
      <c r="AB488" s="720"/>
    </row>
    <row r="489" spans="1:28" ht="12.75" customHeight="1">
      <c r="A489" s="902"/>
      <c r="B489" s="903"/>
      <c r="C489" s="720"/>
      <c r="D489" s="720"/>
      <c r="E489" s="720"/>
      <c r="F489" s="720"/>
      <c r="G489" s="906"/>
      <c r="H489" s="720"/>
      <c r="I489" s="720"/>
      <c r="J489" s="720"/>
      <c r="K489" s="907"/>
      <c r="L489" s="720"/>
      <c r="M489" s="720"/>
      <c r="N489" s="720"/>
      <c r="O489" s="720"/>
      <c r="P489" s="720"/>
      <c r="Q489" s="720"/>
      <c r="R489" s="720"/>
      <c r="S489" s="720"/>
      <c r="T489" s="720"/>
      <c r="U489" s="720"/>
      <c r="V489" s="720"/>
      <c r="W489" s="720"/>
      <c r="X489" s="720"/>
      <c r="Y489" s="720"/>
      <c r="Z489" s="720"/>
      <c r="AA489" s="720"/>
      <c r="AB489" s="720"/>
    </row>
    <row r="490" spans="1:28" ht="12.75" customHeight="1">
      <c r="A490" s="902"/>
      <c r="B490" s="903"/>
      <c r="C490" s="720"/>
      <c r="D490" s="720"/>
      <c r="E490" s="720"/>
      <c r="F490" s="720"/>
      <c r="G490" s="906"/>
      <c r="H490" s="720"/>
      <c r="I490" s="720"/>
      <c r="J490" s="720"/>
      <c r="K490" s="907"/>
      <c r="L490" s="720"/>
      <c r="M490" s="720"/>
      <c r="N490" s="720"/>
      <c r="O490" s="720"/>
      <c r="P490" s="720"/>
      <c r="Q490" s="720"/>
      <c r="R490" s="720"/>
      <c r="S490" s="720"/>
      <c r="T490" s="720"/>
      <c r="U490" s="720"/>
      <c r="V490" s="720"/>
      <c r="W490" s="720"/>
      <c r="X490" s="720"/>
      <c r="Y490" s="720"/>
      <c r="Z490" s="720"/>
      <c r="AA490" s="720"/>
      <c r="AB490" s="720"/>
    </row>
    <row r="491" spans="1:28" ht="12.75" customHeight="1">
      <c r="A491" s="902"/>
      <c r="B491" s="903"/>
      <c r="C491" s="720"/>
      <c r="D491" s="720"/>
      <c r="E491" s="720"/>
      <c r="F491" s="720"/>
      <c r="G491" s="906"/>
      <c r="H491" s="720"/>
      <c r="I491" s="720"/>
      <c r="J491" s="720"/>
      <c r="K491" s="907"/>
      <c r="L491" s="720"/>
      <c r="M491" s="720"/>
      <c r="N491" s="720"/>
      <c r="O491" s="720"/>
      <c r="P491" s="720"/>
      <c r="Q491" s="720"/>
      <c r="R491" s="720"/>
      <c r="S491" s="720"/>
      <c r="T491" s="720"/>
      <c r="U491" s="720"/>
      <c r="V491" s="720"/>
      <c r="W491" s="720"/>
      <c r="X491" s="720"/>
      <c r="Y491" s="720"/>
      <c r="Z491" s="720"/>
      <c r="AA491" s="720"/>
      <c r="AB491" s="720"/>
    </row>
    <row r="492" spans="1:28" ht="12.75" customHeight="1">
      <c r="A492" s="902"/>
      <c r="B492" s="903"/>
      <c r="C492" s="720"/>
      <c r="D492" s="720"/>
      <c r="E492" s="720"/>
      <c r="F492" s="720"/>
      <c r="G492" s="906"/>
      <c r="H492" s="720"/>
      <c r="I492" s="720"/>
      <c r="J492" s="720"/>
      <c r="K492" s="907"/>
      <c r="L492" s="720"/>
      <c r="M492" s="720"/>
      <c r="N492" s="720"/>
      <c r="O492" s="720"/>
      <c r="P492" s="720"/>
      <c r="Q492" s="720"/>
      <c r="R492" s="720"/>
      <c r="S492" s="720"/>
      <c r="T492" s="720"/>
      <c r="U492" s="720"/>
      <c r="V492" s="720"/>
      <c r="W492" s="720"/>
      <c r="X492" s="720"/>
      <c r="Y492" s="720"/>
      <c r="Z492" s="720"/>
      <c r="AA492" s="720"/>
      <c r="AB492" s="720"/>
    </row>
    <row r="493" spans="1:28" ht="12.75" customHeight="1">
      <c r="A493" s="902"/>
      <c r="B493" s="903"/>
      <c r="C493" s="720"/>
      <c r="D493" s="720"/>
      <c r="E493" s="720"/>
      <c r="F493" s="720"/>
      <c r="G493" s="906"/>
      <c r="H493" s="720"/>
      <c r="I493" s="720"/>
      <c r="J493" s="720"/>
      <c r="K493" s="907"/>
      <c r="L493" s="720"/>
      <c r="M493" s="720"/>
      <c r="N493" s="720"/>
      <c r="O493" s="720"/>
      <c r="P493" s="720"/>
      <c r="Q493" s="720"/>
      <c r="R493" s="720"/>
      <c r="S493" s="720"/>
      <c r="T493" s="720"/>
      <c r="U493" s="720"/>
      <c r="V493" s="720"/>
      <c r="W493" s="720"/>
      <c r="X493" s="720"/>
      <c r="Y493" s="720"/>
      <c r="Z493" s="720"/>
      <c r="AA493" s="720"/>
      <c r="AB493" s="720"/>
    </row>
    <row r="494" spans="1:28" ht="12.75" customHeight="1">
      <c r="A494" s="902"/>
      <c r="B494" s="903"/>
      <c r="C494" s="720"/>
      <c r="D494" s="720"/>
      <c r="E494" s="720"/>
      <c r="F494" s="720"/>
      <c r="G494" s="906"/>
      <c r="H494" s="720"/>
      <c r="I494" s="720"/>
      <c r="J494" s="720"/>
      <c r="K494" s="907"/>
      <c r="L494" s="720"/>
      <c r="M494" s="720"/>
      <c r="N494" s="720"/>
      <c r="O494" s="720"/>
      <c r="P494" s="720"/>
      <c r="Q494" s="720"/>
      <c r="R494" s="720"/>
      <c r="S494" s="720"/>
      <c r="T494" s="720"/>
      <c r="U494" s="720"/>
      <c r="V494" s="720"/>
      <c r="W494" s="720"/>
      <c r="X494" s="720"/>
      <c r="Y494" s="720"/>
      <c r="Z494" s="720"/>
      <c r="AA494" s="720"/>
      <c r="AB494" s="720"/>
    </row>
    <row r="495" spans="1:28" ht="12.75" customHeight="1">
      <c r="A495" s="902"/>
      <c r="B495" s="903"/>
      <c r="C495" s="720"/>
      <c r="D495" s="720"/>
      <c r="E495" s="720"/>
      <c r="F495" s="720"/>
      <c r="G495" s="906"/>
      <c r="H495" s="720"/>
      <c r="I495" s="720"/>
      <c r="J495" s="720"/>
      <c r="K495" s="907"/>
      <c r="L495" s="720"/>
      <c r="M495" s="720"/>
      <c r="N495" s="720"/>
      <c r="O495" s="720"/>
      <c r="P495" s="720"/>
      <c r="Q495" s="720"/>
      <c r="R495" s="720"/>
      <c r="S495" s="720"/>
      <c r="T495" s="720"/>
      <c r="U495" s="720"/>
      <c r="V495" s="720"/>
      <c r="W495" s="720"/>
      <c r="X495" s="720"/>
      <c r="Y495" s="720"/>
      <c r="Z495" s="720"/>
      <c r="AA495" s="720"/>
      <c r="AB495" s="720"/>
    </row>
    <row r="496" spans="1:28" ht="12.75" customHeight="1">
      <c r="A496" s="902"/>
      <c r="B496" s="903"/>
      <c r="C496" s="720"/>
      <c r="D496" s="720"/>
      <c r="E496" s="720"/>
      <c r="F496" s="720"/>
      <c r="G496" s="906"/>
      <c r="H496" s="720"/>
      <c r="I496" s="720"/>
      <c r="J496" s="720"/>
      <c r="K496" s="907"/>
      <c r="L496" s="720"/>
      <c r="M496" s="720"/>
      <c r="N496" s="720"/>
      <c r="O496" s="720"/>
      <c r="P496" s="720"/>
      <c r="Q496" s="720"/>
      <c r="R496" s="720"/>
      <c r="S496" s="720"/>
      <c r="T496" s="720"/>
      <c r="U496" s="720"/>
      <c r="V496" s="720"/>
      <c r="W496" s="720"/>
      <c r="X496" s="720"/>
      <c r="Y496" s="720"/>
      <c r="Z496" s="720"/>
      <c r="AA496" s="720"/>
      <c r="AB496" s="720"/>
    </row>
    <row r="497" spans="1:28" ht="12.75" customHeight="1">
      <c r="A497" s="902"/>
      <c r="B497" s="903"/>
      <c r="C497" s="720"/>
      <c r="D497" s="720"/>
      <c r="E497" s="720"/>
      <c r="F497" s="720"/>
      <c r="G497" s="906"/>
      <c r="H497" s="720"/>
      <c r="I497" s="720"/>
      <c r="J497" s="720"/>
      <c r="K497" s="907"/>
      <c r="L497" s="720"/>
      <c r="M497" s="720"/>
      <c r="N497" s="720"/>
      <c r="O497" s="720"/>
      <c r="P497" s="720"/>
      <c r="Q497" s="720"/>
      <c r="R497" s="720"/>
      <c r="S497" s="720"/>
      <c r="T497" s="720"/>
      <c r="U497" s="720"/>
      <c r="V497" s="720"/>
      <c r="W497" s="720"/>
      <c r="X497" s="720"/>
      <c r="Y497" s="720"/>
      <c r="Z497" s="720"/>
      <c r="AA497" s="720"/>
      <c r="AB497" s="720"/>
    </row>
    <row r="498" spans="1:28" ht="12.75" customHeight="1">
      <c r="A498" s="902"/>
      <c r="B498" s="903"/>
      <c r="C498" s="720"/>
      <c r="D498" s="720"/>
      <c r="E498" s="720"/>
      <c r="F498" s="720"/>
      <c r="G498" s="906"/>
      <c r="H498" s="720"/>
      <c r="I498" s="720"/>
      <c r="J498" s="720"/>
      <c r="K498" s="907"/>
      <c r="L498" s="720"/>
      <c r="M498" s="720"/>
      <c r="N498" s="720"/>
      <c r="O498" s="720"/>
      <c r="P498" s="720"/>
      <c r="Q498" s="720"/>
      <c r="R498" s="720"/>
      <c r="S498" s="720"/>
      <c r="T498" s="720"/>
      <c r="U498" s="720"/>
      <c r="V498" s="720"/>
      <c r="W498" s="720"/>
      <c r="X498" s="720"/>
      <c r="Y498" s="720"/>
      <c r="Z498" s="720"/>
      <c r="AA498" s="720"/>
      <c r="AB498" s="720"/>
    </row>
    <row r="499" spans="1:28" ht="12.75" customHeight="1">
      <c r="A499" s="902"/>
      <c r="B499" s="903"/>
      <c r="C499" s="720"/>
      <c r="D499" s="720"/>
      <c r="E499" s="720"/>
      <c r="F499" s="720"/>
      <c r="G499" s="906"/>
      <c r="H499" s="720"/>
      <c r="I499" s="720"/>
      <c r="J499" s="720"/>
      <c r="K499" s="907"/>
      <c r="L499" s="720"/>
      <c r="M499" s="720"/>
      <c r="N499" s="720"/>
      <c r="O499" s="720"/>
      <c r="P499" s="720"/>
      <c r="Q499" s="720"/>
      <c r="R499" s="720"/>
      <c r="S499" s="720"/>
      <c r="T499" s="720"/>
      <c r="U499" s="720"/>
      <c r="V499" s="720"/>
      <c r="W499" s="720"/>
      <c r="X499" s="720"/>
      <c r="Y499" s="720"/>
      <c r="Z499" s="720"/>
      <c r="AA499" s="720"/>
      <c r="AB499" s="720"/>
    </row>
    <row r="500" spans="1:28" ht="12.75" customHeight="1">
      <c r="A500" s="902"/>
      <c r="B500" s="903"/>
      <c r="C500" s="720"/>
      <c r="D500" s="720"/>
      <c r="E500" s="720"/>
      <c r="F500" s="720"/>
      <c r="G500" s="906"/>
      <c r="H500" s="720"/>
      <c r="I500" s="720"/>
      <c r="J500" s="720"/>
      <c r="K500" s="907"/>
      <c r="L500" s="720"/>
      <c r="M500" s="720"/>
      <c r="N500" s="720"/>
      <c r="O500" s="720"/>
      <c r="P500" s="720"/>
      <c r="Q500" s="720"/>
      <c r="R500" s="720"/>
      <c r="S500" s="720"/>
      <c r="T500" s="720"/>
      <c r="U500" s="720"/>
      <c r="V500" s="720"/>
      <c r="W500" s="720"/>
      <c r="X500" s="720"/>
      <c r="Y500" s="720"/>
      <c r="Z500" s="720"/>
      <c r="AA500" s="720"/>
      <c r="AB500" s="720"/>
    </row>
    <row r="501" spans="1:28" ht="12.75" customHeight="1">
      <c r="A501" s="902"/>
      <c r="B501" s="903"/>
      <c r="C501" s="720"/>
      <c r="D501" s="720"/>
      <c r="E501" s="720"/>
      <c r="F501" s="720"/>
      <c r="G501" s="906"/>
      <c r="H501" s="720"/>
      <c r="I501" s="720"/>
      <c r="J501" s="720"/>
      <c r="K501" s="907"/>
      <c r="L501" s="720"/>
      <c r="M501" s="720"/>
      <c r="N501" s="720"/>
      <c r="O501" s="720"/>
      <c r="P501" s="720"/>
      <c r="Q501" s="720"/>
      <c r="R501" s="720"/>
      <c r="S501" s="720"/>
      <c r="T501" s="720"/>
      <c r="U501" s="720"/>
      <c r="V501" s="720"/>
      <c r="W501" s="720"/>
      <c r="X501" s="720"/>
      <c r="Y501" s="720"/>
      <c r="Z501" s="720"/>
      <c r="AA501" s="720"/>
      <c r="AB501" s="720"/>
    </row>
    <row r="502" spans="1:28" ht="12.75" customHeight="1">
      <c r="A502" s="902"/>
      <c r="B502" s="903"/>
      <c r="C502" s="720"/>
      <c r="D502" s="720"/>
      <c r="E502" s="720"/>
      <c r="F502" s="720"/>
      <c r="G502" s="906"/>
      <c r="H502" s="720"/>
      <c r="I502" s="720"/>
      <c r="J502" s="720"/>
      <c r="K502" s="907"/>
      <c r="L502" s="720"/>
      <c r="M502" s="720"/>
      <c r="N502" s="720"/>
      <c r="O502" s="720"/>
      <c r="P502" s="720"/>
      <c r="Q502" s="720"/>
      <c r="R502" s="720"/>
      <c r="S502" s="720"/>
      <c r="T502" s="720"/>
      <c r="U502" s="720"/>
      <c r="V502" s="720"/>
      <c r="W502" s="720"/>
      <c r="X502" s="720"/>
      <c r="Y502" s="720"/>
      <c r="Z502" s="720"/>
      <c r="AA502" s="720"/>
      <c r="AB502" s="720"/>
    </row>
    <row r="503" spans="1:28" ht="12.75" customHeight="1">
      <c r="A503" s="902"/>
      <c r="B503" s="903"/>
      <c r="C503" s="720"/>
      <c r="D503" s="720"/>
      <c r="E503" s="720"/>
      <c r="F503" s="720"/>
      <c r="G503" s="906"/>
      <c r="H503" s="720"/>
      <c r="I503" s="720"/>
      <c r="J503" s="720"/>
      <c r="K503" s="907"/>
      <c r="L503" s="720"/>
      <c r="M503" s="720"/>
      <c r="N503" s="720"/>
      <c r="O503" s="720"/>
      <c r="P503" s="720"/>
      <c r="Q503" s="720"/>
      <c r="R503" s="720"/>
      <c r="S503" s="720"/>
      <c r="T503" s="720"/>
      <c r="U503" s="720"/>
      <c r="V503" s="720"/>
      <c r="W503" s="720"/>
      <c r="X503" s="720"/>
      <c r="Y503" s="720"/>
      <c r="Z503" s="720"/>
      <c r="AA503" s="720"/>
      <c r="AB503" s="720"/>
    </row>
    <row r="504" spans="1:28" ht="12.75" customHeight="1">
      <c r="A504" s="902"/>
      <c r="B504" s="903"/>
      <c r="C504" s="720"/>
      <c r="D504" s="720"/>
      <c r="E504" s="720"/>
      <c r="F504" s="720"/>
      <c r="G504" s="906"/>
      <c r="H504" s="720"/>
      <c r="I504" s="720"/>
      <c r="J504" s="720"/>
      <c r="K504" s="907"/>
      <c r="L504" s="720"/>
      <c r="M504" s="720"/>
      <c r="N504" s="720"/>
      <c r="O504" s="720"/>
      <c r="P504" s="720"/>
      <c r="Q504" s="720"/>
      <c r="R504" s="720"/>
      <c r="S504" s="720"/>
      <c r="T504" s="720"/>
      <c r="U504" s="720"/>
      <c r="V504" s="720"/>
      <c r="W504" s="720"/>
      <c r="X504" s="720"/>
      <c r="Y504" s="720"/>
      <c r="Z504" s="720"/>
      <c r="AA504" s="720"/>
      <c r="AB504" s="720"/>
    </row>
    <row r="505" spans="1:28" ht="12.75" customHeight="1">
      <c r="A505" s="902"/>
      <c r="B505" s="903"/>
      <c r="C505" s="720"/>
      <c r="D505" s="720"/>
      <c r="E505" s="720"/>
      <c r="F505" s="720"/>
      <c r="G505" s="906"/>
      <c r="H505" s="720"/>
      <c r="I505" s="720"/>
      <c r="J505" s="720"/>
      <c r="K505" s="907"/>
      <c r="L505" s="720"/>
      <c r="M505" s="720"/>
      <c r="N505" s="720"/>
      <c r="O505" s="720"/>
      <c r="P505" s="720"/>
      <c r="Q505" s="720"/>
      <c r="R505" s="720"/>
      <c r="S505" s="720"/>
      <c r="T505" s="720"/>
      <c r="U505" s="720"/>
      <c r="V505" s="720"/>
      <c r="W505" s="720"/>
      <c r="X505" s="720"/>
      <c r="Y505" s="720"/>
      <c r="Z505" s="720"/>
      <c r="AA505" s="720"/>
      <c r="AB505" s="720"/>
    </row>
    <row r="506" spans="1:28" ht="12.75" customHeight="1">
      <c r="A506" s="902"/>
      <c r="B506" s="903"/>
      <c r="C506" s="720"/>
      <c r="D506" s="720"/>
      <c r="E506" s="720"/>
      <c r="F506" s="720"/>
      <c r="G506" s="906"/>
      <c r="H506" s="720"/>
      <c r="I506" s="720"/>
      <c r="J506" s="720"/>
      <c r="K506" s="907"/>
      <c r="L506" s="720"/>
      <c r="M506" s="720"/>
      <c r="N506" s="720"/>
      <c r="O506" s="720"/>
      <c r="P506" s="720"/>
      <c r="Q506" s="720"/>
      <c r="R506" s="720"/>
      <c r="S506" s="720"/>
      <c r="T506" s="720"/>
      <c r="U506" s="720"/>
      <c r="V506" s="720"/>
      <c r="W506" s="720"/>
      <c r="X506" s="720"/>
      <c r="Y506" s="720"/>
      <c r="Z506" s="720"/>
      <c r="AA506" s="720"/>
      <c r="AB506" s="720"/>
    </row>
    <row r="507" spans="1:28" ht="12.75" customHeight="1">
      <c r="A507" s="902"/>
      <c r="B507" s="903"/>
      <c r="C507" s="720"/>
      <c r="D507" s="720"/>
      <c r="E507" s="720"/>
      <c r="F507" s="720"/>
      <c r="G507" s="906"/>
      <c r="H507" s="720"/>
      <c r="I507" s="720"/>
      <c r="J507" s="720"/>
      <c r="K507" s="907"/>
      <c r="L507" s="720"/>
      <c r="M507" s="720"/>
      <c r="N507" s="720"/>
      <c r="O507" s="720"/>
      <c r="P507" s="720"/>
      <c r="Q507" s="720"/>
      <c r="R507" s="720"/>
      <c r="S507" s="720"/>
      <c r="T507" s="720"/>
      <c r="U507" s="720"/>
      <c r="V507" s="720"/>
      <c r="W507" s="720"/>
      <c r="X507" s="720"/>
      <c r="Y507" s="720"/>
      <c r="Z507" s="720"/>
      <c r="AA507" s="720"/>
      <c r="AB507" s="720"/>
    </row>
    <row r="508" spans="1:28" ht="12.75" customHeight="1">
      <c r="A508" s="902"/>
      <c r="B508" s="903"/>
      <c r="C508" s="720"/>
      <c r="D508" s="720"/>
      <c r="E508" s="720"/>
      <c r="F508" s="720"/>
      <c r="G508" s="906"/>
      <c r="H508" s="720"/>
      <c r="I508" s="720"/>
      <c r="J508" s="720"/>
      <c r="K508" s="907"/>
      <c r="L508" s="720"/>
      <c r="M508" s="720"/>
      <c r="N508" s="720"/>
      <c r="O508" s="720"/>
      <c r="P508" s="720"/>
      <c r="Q508" s="720"/>
      <c r="R508" s="720"/>
      <c r="S508" s="720"/>
      <c r="T508" s="720"/>
      <c r="U508" s="720"/>
      <c r="V508" s="720"/>
      <c r="W508" s="720"/>
      <c r="X508" s="720"/>
      <c r="Y508" s="720"/>
      <c r="Z508" s="720"/>
      <c r="AA508" s="720"/>
      <c r="AB508" s="720"/>
    </row>
    <row r="509" spans="1:28" ht="12.75" customHeight="1">
      <c r="A509" s="902"/>
      <c r="B509" s="903"/>
      <c r="C509" s="720"/>
      <c r="D509" s="720"/>
      <c r="E509" s="720"/>
      <c r="F509" s="720"/>
      <c r="G509" s="906"/>
      <c r="H509" s="720"/>
      <c r="I509" s="720"/>
      <c r="J509" s="720"/>
      <c r="K509" s="907"/>
      <c r="L509" s="720"/>
      <c r="M509" s="720"/>
      <c r="N509" s="720"/>
      <c r="O509" s="720"/>
      <c r="P509" s="720"/>
      <c r="Q509" s="720"/>
      <c r="R509" s="720"/>
      <c r="S509" s="720"/>
      <c r="T509" s="720"/>
      <c r="U509" s="720"/>
      <c r="V509" s="720"/>
      <c r="W509" s="720"/>
      <c r="X509" s="720"/>
      <c r="Y509" s="720"/>
      <c r="Z509" s="720"/>
      <c r="AA509" s="720"/>
      <c r="AB509" s="720"/>
    </row>
    <row r="510" spans="1:28" ht="12.75" customHeight="1">
      <c r="A510" s="902"/>
      <c r="B510" s="903"/>
      <c r="C510" s="720"/>
      <c r="D510" s="720"/>
      <c r="E510" s="720"/>
      <c r="F510" s="720"/>
      <c r="G510" s="906"/>
      <c r="H510" s="720"/>
      <c r="I510" s="720"/>
      <c r="J510" s="720"/>
      <c r="K510" s="907"/>
      <c r="L510" s="720"/>
      <c r="M510" s="720"/>
      <c r="N510" s="720"/>
      <c r="O510" s="720"/>
      <c r="P510" s="720"/>
      <c r="Q510" s="720"/>
      <c r="R510" s="720"/>
      <c r="S510" s="720"/>
      <c r="T510" s="720"/>
      <c r="U510" s="720"/>
      <c r="V510" s="720"/>
      <c r="W510" s="720"/>
      <c r="X510" s="720"/>
      <c r="Y510" s="720"/>
      <c r="Z510" s="720"/>
      <c r="AA510" s="720"/>
      <c r="AB510" s="720"/>
    </row>
    <row r="511" spans="1:28" ht="12.75" customHeight="1">
      <c r="A511" s="902"/>
      <c r="B511" s="903"/>
      <c r="C511" s="720"/>
      <c r="D511" s="720"/>
      <c r="E511" s="720"/>
      <c r="F511" s="720"/>
      <c r="G511" s="906"/>
      <c r="H511" s="720"/>
      <c r="I511" s="720"/>
      <c r="J511" s="720"/>
      <c r="K511" s="907"/>
      <c r="L511" s="720"/>
      <c r="M511" s="720"/>
      <c r="N511" s="720"/>
      <c r="O511" s="720"/>
      <c r="P511" s="720"/>
      <c r="Q511" s="720"/>
      <c r="R511" s="720"/>
      <c r="S511" s="720"/>
      <c r="T511" s="720"/>
      <c r="U511" s="720"/>
      <c r="V511" s="720"/>
      <c r="W511" s="720"/>
      <c r="X511" s="720"/>
      <c r="Y511" s="720"/>
      <c r="Z511" s="720"/>
      <c r="AA511" s="720"/>
      <c r="AB511" s="720"/>
    </row>
    <row r="512" spans="1:28" ht="12.75" customHeight="1">
      <c r="A512" s="902"/>
      <c r="B512" s="903"/>
      <c r="C512" s="720"/>
      <c r="D512" s="720"/>
      <c r="E512" s="720"/>
      <c r="F512" s="720"/>
      <c r="G512" s="906"/>
      <c r="H512" s="720"/>
      <c r="I512" s="720"/>
      <c r="J512" s="720"/>
      <c r="K512" s="907"/>
      <c r="L512" s="720"/>
      <c r="M512" s="720"/>
      <c r="N512" s="720"/>
      <c r="O512" s="720"/>
      <c r="P512" s="720"/>
      <c r="Q512" s="720"/>
      <c r="R512" s="720"/>
      <c r="S512" s="720"/>
      <c r="T512" s="720"/>
      <c r="U512" s="720"/>
      <c r="V512" s="720"/>
      <c r="W512" s="720"/>
      <c r="X512" s="720"/>
      <c r="Y512" s="720"/>
      <c r="Z512" s="720"/>
      <c r="AA512" s="720"/>
      <c r="AB512" s="720"/>
    </row>
    <row r="513" spans="1:28" ht="12.75" customHeight="1">
      <c r="A513" s="902"/>
      <c r="B513" s="903"/>
      <c r="C513" s="720"/>
      <c r="D513" s="720"/>
      <c r="E513" s="720"/>
      <c r="F513" s="720"/>
      <c r="G513" s="906"/>
      <c r="H513" s="720"/>
      <c r="I513" s="720"/>
      <c r="J513" s="720"/>
      <c r="K513" s="907"/>
      <c r="L513" s="720"/>
      <c r="M513" s="720"/>
      <c r="N513" s="720"/>
      <c r="O513" s="720"/>
      <c r="P513" s="720"/>
      <c r="Q513" s="720"/>
      <c r="R513" s="720"/>
      <c r="S513" s="720"/>
      <c r="T513" s="720"/>
      <c r="U513" s="720"/>
      <c r="V513" s="720"/>
      <c r="W513" s="720"/>
      <c r="X513" s="720"/>
      <c r="Y513" s="720"/>
      <c r="Z513" s="720"/>
      <c r="AA513" s="720"/>
      <c r="AB513" s="720"/>
    </row>
    <row r="514" spans="1:28" ht="12.75" customHeight="1">
      <c r="A514" s="902"/>
      <c r="B514" s="903"/>
      <c r="C514" s="720"/>
      <c r="D514" s="720"/>
      <c r="E514" s="720"/>
      <c r="F514" s="720"/>
      <c r="G514" s="906"/>
      <c r="H514" s="720"/>
      <c r="I514" s="720"/>
      <c r="J514" s="720"/>
      <c r="K514" s="907"/>
      <c r="L514" s="720"/>
      <c r="M514" s="720"/>
      <c r="N514" s="720"/>
      <c r="O514" s="720"/>
      <c r="P514" s="720"/>
      <c r="Q514" s="720"/>
      <c r="R514" s="720"/>
      <c r="S514" s="720"/>
      <c r="T514" s="720"/>
      <c r="U514" s="720"/>
      <c r="V514" s="720"/>
      <c r="W514" s="720"/>
      <c r="X514" s="720"/>
      <c r="Y514" s="720"/>
      <c r="Z514" s="720"/>
      <c r="AA514" s="720"/>
      <c r="AB514" s="720"/>
    </row>
    <row r="515" spans="1:28" ht="12.75" customHeight="1">
      <c r="A515" s="902"/>
      <c r="B515" s="903"/>
      <c r="C515" s="720"/>
      <c r="D515" s="720"/>
      <c r="E515" s="720"/>
      <c r="F515" s="720"/>
      <c r="G515" s="906"/>
      <c r="H515" s="720"/>
      <c r="I515" s="720"/>
      <c r="J515" s="720"/>
      <c r="K515" s="907"/>
      <c r="L515" s="720"/>
      <c r="M515" s="720"/>
      <c r="N515" s="720"/>
      <c r="O515" s="720"/>
      <c r="P515" s="720"/>
      <c r="Q515" s="720"/>
      <c r="R515" s="720"/>
      <c r="S515" s="720"/>
      <c r="T515" s="720"/>
      <c r="U515" s="720"/>
      <c r="V515" s="720"/>
      <c r="W515" s="720"/>
      <c r="X515" s="720"/>
      <c r="Y515" s="720"/>
      <c r="Z515" s="720"/>
      <c r="AA515" s="720"/>
      <c r="AB515" s="720"/>
    </row>
    <row r="516" spans="1:28" ht="12.75" customHeight="1">
      <c r="A516" s="902"/>
      <c r="B516" s="903"/>
      <c r="C516" s="720"/>
      <c r="D516" s="720"/>
      <c r="E516" s="720"/>
      <c r="F516" s="720"/>
      <c r="G516" s="906"/>
      <c r="H516" s="720"/>
      <c r="I516" s="720"/>
      <c r="J516" s="720"/>
      <c r="K516" s="907"/>
      <c r="L516" s="720"/>
      <c r="M516" s="720"/>
      <c r="N516" s="720"/>
      <c r="O516" s="720"/>
      <c r="P516" s="720"/>
      <c r="Q516" s="720"/>
      <c r="R516" s="720"/>
      <c r="S516" s="720"/>
      <c r="T516" s="720"/>
      <c r="U516" s="720"/>
      <c r="V516" s="720"/>
      <c r="W516" s="720"/>
      <c r="X516" s="720"/>
      <c r="Y516" s="720"/>
      <c r="Z516" s="720"/>
      <c r="AA516" s="720"/>
      <c r="AB516" s="720"/>
    </row>
    <row r="517" spans="1:28" ht="12.75" customHeight="1">
      <c r="A517" s="902"/>
      <c r="B517" s="903"/>
      <c r="C517" s="720"/>
      <c r="D517" s="720"/>
      <c r="E517" s="720"/>
      <c r="F517" s="720"/>
      <c r="G517" s="906"/>
      <c r="H517" s="720"/>
      <c r="I517" s="720"/>
      <c r="J517" s="720"/>
      <c r="K517" s="907"/>
      <c r="L517" s="720"/>
      <c r="M517" s="720"/>
      <c r="N517" s="720"/>
      <c r="O517" s="720"/>
      <c r="P517" s="720"/>
      <c r="Q517" s="720"/>
      <c r="R517" s="720"/>
      <c r="S517" s="720"/>
      <c r="T517" s="720"/>
      <c r="U517" s="720"/>
      <c r="V517" s="720"/>
      <c r="W517" s="720"/>
      <c r="X517" s="720"/>
      <c r="Y517" s="720"/>
      <c r="Z517" s="720"/>
      <c r="AA517" s="720"/>
      <c r="AB517" s="720"/>
    </row>
    <row r="518" spans="1:28" ht="12.75" customHeight="1">
      <c r="A518" s="902"/>
      <c r="B518" s="903"/>
      <c r="C518" s="720"/>
      <c r="D518" s="720"/>
      <c r="E518" s="720"/>
      <c r="F518" s="720"/>
      <c r="G518" s="906"/>
      <c r="H518" s="720"/>
      <c r="I518" s="720"/>
      <c r="J518" s="720"/>
      <c r="K518" s="907"/>
      <c r="L518" s="720"/>
      <c r="M518" s="720"/>
      <c r="N518" s="720"/>
      <c r="O518" s="720"/>
      <c r="P518" s="720"/>
      <c r="Q518" s="720"/>
      <c r="R518" s="720"/>
      <c r="S518" s="720"/>
      <c r="T518" s="720"/>
      <c r="U518" s="720"/>
      <c r="V518" s="720"/>
      <c r="W518" s="720"/>
      <c r="X518" s="720"/>
      <c r="Y518" s="720"/>
      <c r="Z518" s="720"/>
      <c r="AA518" s="720"/>
      <c r="AB518" s="720"/>
    </row>
    <row r="519" spans="1:28" ht="12.75" customHeight="1">
      <c r="A519" s="902"/>
      <c r="B519" s="903"/>
      <c r="C519" s="720"/>
      <c r="D519" s="720"/>
      <c r="E519" s="720"/>
      <c r="F519" s="720"/>
      <c r="G519" s="906"/>
      <c r="H519" s="720"/>
      <c r="I519" s="720"/>
      <c r="J519" s="720"/>
      <c r="K519" s="907"/>
      <c r="L519" s="720"/>
      <c r="M519" s="720"/>
      <c r="N519" s="720"/>
      <c r="O519" s="720"/>
      <c r="P519" s="720"/>
      <c r="Q519" s="720"/>
      <c r="R519" s="720"/>
      <c r="S519" s="720"/>
      <c r="T519" s="720"/>
      <c r="U519" s="720"/>
      <c r="V519" s="720"/>
      <c r="W519" s="720"/>
      <c r="X519" s="720"/>
      <c r="Y519" s="720"/>
      <c r="Z519" s="720"/>
      <c r="AA519" s="720"/>
      <c r="AB519" s="720"/>
    </row>
    <row r="520" spans="1:28" ht="12.75" customHeight="1">
      <c r="A520" s="902"/>
      <c r="B520" s="903"/>
      <c r="C520" s="720"/>
      <c r="D520" s="720"/>
      <c r="E520" s="720"/>
      <c r="F520" s="720"/>
      <c r="G520" s="906"/>
      <c r="H520" s="720"/>
      <c r="I520" s="720"/>
      <c r="J520" s="720"/>
      <c r="K520" s="907"/>
      <c r="L520" s="720"/>
      <c r="M520" s="720"/>
      <c r="N520" s="720"/>
      <c r="O520" s="720"/>
      <c r="P520" s="720"/>
      <c r="Q520" s="720"/>
      <c r="R520" s="720"/>
      <c r="S520" s="720"/>
      <c r="T520" s="720"/>
      <c r="U520" s="720"/>
      <c r="V520" s="720"/>
      <c r="W520" s="720"/>
      <c r="X520" s="720"/>
      <c r="Y520" s="720"/>
      <c r="Z520" s="720"/>
      <c r="AA520" s="720"/>
      <c r="AB520" s="720"/>
    </row>
    <row r="521" spans="1:28" ht="12.75" customHeight="1">
      <c r="A521" s="902"/>
      <c r="B521" s="903"/>
      <c r="C521" s="720"/>
      <c r="D521" s="720"/>
      <c r="E521" s="720"/>
      <c r="F521" s="720"/>
      <c r="G521" s="906"/>
      <c r="H521" s="720"/>
      <c r="I521" s="720"/>
      <c r="J521" s="720"/>
      <c r="K521" s="907"/>
      <c r="L521" s="720"/>
      <c r="M521" s="720"/>
      <c r="N521" s="720"/>
      <c r="O521" s="720"/>
      <c r="P521" s="720"/>
      <c r="Q521" s="720"/>
      <c r="R521" s="720"/>
      <c r="S521" s="720"/>
      <c r="T521" s="720"/>
      <c r="U521" s="720"/>
      <c r="V521" s="720"/>
      <c r="W521" s="720"/>
      <c r="X521" s="720"/>
      <c r="Y521" s="720"/>
      <c r="Z521" s="720"/>
      <c r="AA521" s="720"/>
      <c r="AB521" s="720"/>
    </row>
    <row r="522" spans="1:28" ht="12.75" customHeight="1">
      <c r="A522" s="902"/>
      <c r="B522" s="903"/>
      <c r="C522" s="720"/>
      <c r="D522" s="720"/>
      <c r="E522" s="720"/>
      <c r="F522" s="720"/>
      <c r="G522" s="906"/>
      <c r="H522" s="720"/>
      <c r="I522" s="720"/>
      <c r="J522" s="720"/>
      <c r="K522" s="907"/>
      <c r="L522" s="720"/>
      <c r="M522" s="720"/>
      <c r="N522" s="720"/>
      <c r="O522" s="720"/>
      <c r="P522" s="720"/>
      <c r="Q522" s="720"/>
      <c r="R522" s="720"/>
      <c r="S522" s="720"/>
      <c r="T522" s="720"/>
      <c r="U522" s="720"/>
      <c r="V522" s="720"/>
      <c r="W522" s="720"/>
      <c r="X522" s="720"/>
      <c r="Y522" s="720"/>
      <c r="Z522" s="720"/>
      <c r="AA522" s="720"/>
      <c r="AB522" s="720"/>
    </row>
    <row r="523" spans="1:28" ht="12.75" customHeight="1">
      <c r="A523" s="902"/>
      <c r="B523" s="903"/>
      <c r="C523" s="720"/>
      <c r="D523" s="720"/>
      <c r="E523" s="720"/>
      <c r="F523" s="720"/>
      <c r="G523" s="906"/>
      <c r="H523" s="720"/>
      <c r="I523" s="720"/>
      <c r="J523" s="720"/>
      <c r="K523" s="907"/>
      <c r="L523" s="720"/>
      <c r="M523" s="720"/>
      <c r="N523" s="720"/>
      <c r="O523" s="720"/>
      <c r="P523" s="720"/>
      <c r="Q523" s="720"/>
      <c r="R523" s="720"/>
      <c r="S523" s="720"/>
      <c r="T523" s="720"/>
      <c r="U523" s="720"/>
      <c r="V523" s="720"/>
      <c r="W523" s="720"/>
      <c r="X523" s="720"/>
      <c r="Y523" s="720"/>
      <c r="Z523" s="720"/>
      <c r="AA523" s="720"/>
      <c r="AB523" s="720"/>
    </row>
    <row r="524" spans="1:28" ht="12.75" customHeight="1">
      <c r="A524" s="902"/>
      <c r="B524" s="903"/>
      <c r="C524" s="720"/>
      <c r="D524" s="720"/>
      <c r="E524" s="720"/>
      <c r="F524" s="720"/>
      <c r="G524" s="906"/>
      <c r="H524" s="720"/>
      <c r="I524" s="720"/>
      <c r="J524" s="720"/>
      <c r="K524" s="907"/>
      <c r="L524" s="720"/>
      <c r="M524" s="720"/>
      <c r="N524" s="720"/>
      <c r="O524" s="720"/>
      <c r="P524" s="720"/>
      <c r="Q524" s="720"/>
      <c r="R524" s="720"/>
      <c r="S524" s="720"/>
      <c r="T524" s="720"/>
      <c r="U524" s="720"/>
      <c r="V524" s="720"/>
      <c r="W524" s="720"/>
      <c r="X524" s="720"/>
      <c r="Y524" s="720"/>
      <c r="Z524" s="720"/>
      <c r="AA524" s="720"/>
      <c r="AB524" s="720"/>
    </row>
    <row r="525" spans="1:28" ht="12.75" customHeight="1">
      <c r="A525" s="902"/>
      <c r="B525" s="903"/>
      <c r="C525" s="720"/>
      <c r="D525" s="720"/>
      <c r="E525" s="720"/>
      <c r="F525" s="720"/>
      <c r="G525" s="906"/>
      <c r="H525" s="720"/>
      <c r="I525" s="720"/>
      <c r="J525" s="720"/>
      <c r="K525" s="907"/>
      <c r="L525" s="720"/>
      <c r="M525" s="720"/>
      <c r="N525" s="720"/>
      <c r="O525" s="720"/>
      <c r="P525" s="720"/>
      <c r="Q525" s="720"/>
      <c r="R525" s="720"/>
      <c r="S525" s="720"/>
      <c r="T525" s="720"/>
      <c r="U525" s="720"/>
      <c r="V525" s="720"/>
      <c r="W525" s="720"/>
      <c r="X525" s="720"/>
      <c r="Y525" s="720"/>
      <c r="Z525" s="720"/>
      <c r="AA525" s="720"/>
      <c r="AB525" s="720"/>
    </row>
    <row r="526" spans="1:28" ht="12.75" customHeight="1">
      <c r="A526" s="902"/>
      <c r="B526" s="903"/>
      <c r="C526" s="720"/>
      <c r="D526" s="720"/>
      <c r="E526" s="720"/>
      <c r="F526" s="720"/>
      <c r="G526" s="906"/>
      <c r="H526" s="720"/>
      <c r="I526" s="720"/>
      <c r="J526" s="720"/>
      <c r="K526" s="907"/>
      <c r="L526" s="720"/>
      <c r="M526" s="720"/>
      <c r="N526" s="720"/>
      <c r="O526" s="720"/>
      <c r="P526" s="720"/>
      <c r="Q526" s="720"/>
      <c r="R526" s="720"/>
      <c r="S526" s="720"/>
      <c r="T526" s="720"/>
      <c r="U526" s="720"/>
      <c r="V526" s="720"/>
      <c r="W526" s="720"/>
      <c r="X526" s="720"/>
      <c r="Y526" s="720"/>
      <c r="Z526" s="720"/>
      <c r="AA526" s="720"/>
      <c r="AB526" s="720"/>
    </row>
    <row r="527" spans="1:28" ht="12.75" customHeight="1">
      <c r="A527" s="902"/>
      <c r="B527" s="903"/>
      <c r="C527" s="720"/>
      <c r="D527" s="720"/>
      <c r="E527" s="720"/>
      <c r="F527" s="720"/>
      <c r="G527" s="906"/>
      <c r="H527" s="720"/>
      <c r="I527" s="720"/>
      <c r="J527" s="720"/>
      <c r="K527" s="907"/>
      <c r="L527" s="720"/>
      <c r="M527" s="720"/>
      <c r="N527" s="720"/>
      <c r="O527" s="720"/>
      <c r="P527" s="720"/>
      <c r="Q527" s="720"/>
      <c r="R527" s="720"/>
      <c r="S527" s="720"/>
      <c r="T527" s="720"/>
      <c r="U527" s="720"/>
      <c r="V527" s="720"/>
      <c r="W527" s="720"/>
      <c r="X527" s="720"/>
      <c r="Y527" s="720"/>
      <c r="Z527" s="720"/>
      <c r="AA527" s="720"/>
      <c r="AB527" s="720"/>
    </row>
    <row r="528" spans="1:28" ht="12.75" customHeight="1">
      <c r="A528" s="902"/>
      <c r="B528" s="903"/>
      <c r="C528" s="720"/>
      <c r="D528" s="720"/>
      <c r="E528" s="720"/>
      <c r="F528" s="720"/>
      <c r="G528" s="906"/>
      <c r="H528" s="720"/>
      <c r="I528" s="720"/>
      <c r="J528" s="720"/>
      <c r="K528" s="907"/>
      <c r="L528" s="720"/>
      <c r="M528" s="720"/>
      <c r="N528" s="720"/>
      <c r="O528" s="720"/>
      <c r="P528" s="720"/>
      <c r="Q528" s="720"/>
      <c r="R528" s="720"/>
      <c r="S528" s="720"/>
      <c r="T528" s="720"/>
      <c r="U528" s="720"/>
      <c r="V528" s="720"/>
      <c r="W528" s="720"/>
      <c r="X528" s="720"/>
      <c r="Y528" s="720"/>
      <c r="Z528" s="720"/>
      <c r="AA528" s="720"/>
      <c r="AB528" s="720"/>
    </row>
    <row r="529" spans="1:28" ht="12.75" customHeight="1">
      <c r="A529" s="902"/>
      <c r="B529" s="903"/>
      <c r="C529" s="720"/>
      <c r="D529" s="720"/>
      <c r="E529" s="720"/>
      <c r="F529" s="720"/>
      <c r="G529" s="906"/>
      <c r="H529" s="720"/>
      <c r="I529" s="720"/>
      <c r="J529" s="720"/>
      <c r="K529" s="907"/>
      <c r="L529" s="720"/>
      <c r="M529" s="720"/>
      <c r="N529" s="720"/>
      <c r="O529" s="720"/>
      <c r="P529" s="720"/>
      <c r="Q529" s="720"/>
      <c r="R529" s="720"/>
      <c r="S529" s="720"/>
      <c r="T529" s="720"/>
      <c r="U529" s="720"/>
      <c r="V529" s="720"/>
      <c r="W529" s="720"/>
      <c r="X529" s="720"/>
      <c r="Y529" s="720"/>
      <c r="Z529" s="720"/>
      <c r="AA529" s="720"/>
      <c r="AB529" s="720"/>
    </row>
    <row r="530" spans="1:28" ht="12.75" customHeight="1">
      <c r="A530" s="902"/>
      <c r="B530" s="903"/>
      <c r="C530" s="720"/>
      <c r="D530" s="720"/>
      <c r="E530" s="720"/>
      <c r="F530" s="720"/>
      <c r="G530" s="906"/>
      <c r="H530" s="720"/>
      <c r="I530" s="720"/>
      <c r="J530" s="720"/>
      <c r="K530" s="907"/>
      <c r="L530" s="720"/>
      <c r="M530" s="720"/>
      <c r="N530" s="720"/>
      <c r="O530" s="720"/>
      <c r="P530" s="720"/>
      <c r="Q530" s="720"/>
      <c r="R530" s="720"/>
      <c r="S530" s="720"/>
      <c r="T530" s="720"/>
      <c r="U530" s="720"/>
      <c r="V530" s="720"/>
      <c r="W530" s="720"/>
      <c r="X530" s="720"/>
      <c r="Y530" s="720"/>
      <c r="Z530" s="720"/>
      <c r="AA530" s="720"/>
      <c r="AB530" s="720"/>
    </row>
    <row r="531" spans="1:28" ht="12.75" customHeight="1">
      <c r="A531" s="902"/>
      <c r="B531" s="903"/>
      <c r="C531" s="720"/>
      <c r="D531" s="720"/>
      <c r="E531" s="720"/>
      <c r="F531" s="720"/>
      <c r="G531" s="906"/>
      <c r="H531" s="720"/>
      <c r="I531" s="720"/>
      <c r="J531" s="720"/>
      <c r="K531" s="907"/>
      <c r="L531" s="720"/>
      <c r="M531" s="720"/>
      <c r="N531" s="720"/>
      <c r="O531" s="720"/>
      <c r="P531" s="720"/>
      <c r="Q531" s="720"/>
      <c r="R531" s="720"/>
      <c r="S531" s="720"/>
      <c r="T531" s="720"/>
      <c r="U531" s="720"/>
      <c r="V531" s="720"/>
      <c r="W531" s="720"/>
      <c r="X531" s="720"/>
      <c r="Y531" s="720"/>
      <c r="Z531" s="720"/>
      <c r="AA531" s="720"/>
      <c r="AB531" s="720"/>
    </row>
    <row r="532" spans="1:28" ht="12.75" customHeight="1">
      <c r="A532" s="902"/>
      <c r="B532" s="903"/>
      <c r="C532" s="720"/>
      <c r="D532" s="720"/>
      <c r="E532" s="720"/>
      <c r="F532" s="720"/>
      <c r="G532" s="906"/>
      <c r="H532" s="720"/>
      <c r="I532" s="720"/>
      <c r="J532" s="720"/>
      <c r="K532" s="907"/>
      <c r="L532" s="720"/>
      <c r="M532" s="720"/>
      <c r="N532" s="720"/>
      <c r="O532" s="720"/>
      <c r="P532" s="720"/>
      <c r="Q532" s="720"/>
      <c r="R532" s="720"/>
      <c r="S532" s="720"/>
      <c r="T532" s="720"/>
      <c r="U532" s="720"/>
      <c r="V532" s="720"/>
      <c r="W532" s="720"/>
      <c r="X532" s="720"/>
      <c r="Y532" s="720"/>
      <c r="Z532" s="720"/>
      <c r="AA532" s="720"/>
      <c r="AB532" s="720"/>
    </row>
    <row r="533" spans="1:28" ht="12.75" customHeight="1">
      <c r="A533" s="902"/>
      <c r="B533" s="903"/>
      <c r="C533" s="720"/>
      <c r="D533" s="720"/>
      <c r="E533" s="720"/>
      <c r="F533" s="720"/>
      <c r="G533" s="906"/>
      <c r="H533" s="720"/>
      <c r="I533" s="720"/>
      <c r="J533" s="720"/>
      <c r="K533" s="907"/>
      <c r="L533" s="720"/>
      <c r="M533" s="720"/>
      <c r="N533" s="720"/>
      <c r="O533" s="720"/>
      <c r="P533" s="720"/>
      <c r="Q533" s="720"/>
      <c r="R533" s="720"/>
      <c r="S533" s="720"/>
      <c r="T533" s="720"/>
      <c r="U533" s="720"/>
      <c r="V533" s="720"/>
      <c r="W533" s="720"/>
      <c r="X533" s="720"/>
      <c r="Y533" s="720"/>
      <c r="Z533" s="720"/>
      <c r="AA533" s="720"/>
      <c r="AB533" s="720"/>
    </row>
    <row r="534" spans="1:28" ht="12.75" customHeight="1">
      <c r="A534" s="902"/>
      <c r="B534" s="903"/>
      <c r="C534" s="720"/>
      <c r="D534" s="720"/>
      <c r="E534" s="720"/>
      <c r="F534" s="720"/>
      <c r="G534" s="906"/>
      <c r="H534" s="720"/>
      <c r="I534" s="720"/>
      <c r="J534" s="720"/>
      <c r="K534" s="907"/>
      <c r="L534" s="720"/>
      <c r="M534" s="720"/>
      <c r="N534" s="720"/>
      <c r="O534" s="720"/>
      <c r="P534" s="720"/>
      <c r="Q534" s="720"/>
      <c r="R534" s="720"/>
      <c r="S534" s="720"/>
      <c r="T534" s="720"/>
      <c r="U534" s="720"/>
      <c r="V534" s="720"/>
      <c r="W534" s="720"/>
      <c r="X534" s="720"/>
      <c r="Y534" s="720"/>
      <c r="Z534" s="720"/>
      <c r="AA534" s="720"/>
      <c r="AB534" s="720"/>
    </row>
    <row r="535" spans="1:28" ht="12.75" customHeight="1">
      <c r="A535" s="902"/>
      <c r="B535" s="903"/>
      <c r="C535" s="720"/>
      <c r="D535" s="720"/>
      <c r="E535" s="720"/>
      <c r="F535" s="720"/>
      <c r="G535" s="906"/>
      <c r="H535" s="720"/>
      <c r="I535" s="720"/>
      <c r="J535" s="720"/>
      <c r="K535" s="907"/>
      <c r="L535" s="720"/>
      <c r="M535" s="720"/>
      <c r="N535" s="720"/>
      <c r="O535" s="720"/>
      <c r="P535" s="720"/>
      <c r="Q535" s="720"/>
      <c r="R535" s="720"/>
      <c r="S535" s="720"/>
      <c r="T535" s="720"/>
      <c r="U535" s="720"/>
      <c r="V535" s="720"/>
      <c r="W535" s="720"/>
      <c r="X535" s="720"/>
      <c r="Y535" s="720"/>
      <c r="Z535" s="720"/>
      <c r="AA535" s="720"/>
      <c r="AB535" s="720"/>
    </row>
    <row r="536" spans="1:28" ht="12.75" customHeight="1">
      <c r="A536" s="902"/>
      <c r="B536" s="903"/>
      <c r="C536" s="720"/>
      <c r="D536" s="720"/>
      <c r="E536" s="720"/>
      <c r="F536" s="720"/>
      <c r="G536" s="906"/>
      <c r="H536" s="720"/>
      <c r="I536" s="720"/>
      <c r="J536" s="720"/>
      <c r="K536" s="907"/>
      <c r="L536" s="720"/>
      <c r="M536" s="720"/>
      <c r="N536" s="720"/>
      <c r="O536" s="720"/>
      <c r="P536" s="720"/>
      <c r="Q536" s="720"/>
      <c r="R536" s="720"/>
      <c r="S536" s="720"/>
      <c r="T536" s="720"/>
      <c r="U536" s="720"/>
      <c r="V536" s="720"/>
      <c r="W536" s="720"/>
      <c r="X536" s="720"/>
      <c r="Y536" s="720"/>
      <c r="Z536" s="720"/>
      <c r="AA536" s="720"/>
      <c r="AB536" s="720"/>
    </row>
    <row r="537" spans="1:28" ht="12.75" customHeight="1">
      <c r="A537" s="902"/>
      <c r="B537" s="903"/>
      <c r="C537" s="720"/>
      <c r="D537" s="720"/>
      <c r="E537" s="720"/>
      <c r="F537" s="720"/>
      <c r="G537" s="906"/>
      <c r="H537" s="720"/>
      <c r="I537" s="720"/>
      <c r="J537" s="720"/>
      <c r="K537" s="907"/>
      <c r="L537" s="720"/>
      <c r="M537" s="720"/>
      <c r="N537" s="720"/>
      <c r="O537" s="720"/>
      <c r="P537" s="720"/>
      <c r="Q537" s="720"/>
      <c r="R537" s="720"/>
      <c r="S537" s="720"/>
      <c r="T537" s="720"/>
      <c r="U537" s="720"/>
      <c r="V537" s="720"/>
      <c r="W537" s="720"/>
      <c r="X537" s="720"/>
      <c r="Y537" s="720"/>
      <c r="Z537" s="720"/>
      <c r="AA537" s="720"/>
      <c r="AB537" s="720"/>
    </row>
    <row r="538" spans="1:28" ht="12.75" customHeight="1">
      <c r="A538" s="902"/>
      <c r="B538" s="903"/>
      <c r="C538" s="720"/>
      <c r="D538" s="720"/>
      <c r="E538" s="720"/>
      <c r="F538" s="720"/>
      <c r="G538" s="906"/>
      <c r="H538" s="720"/>
      <c r="I538" s="720"/>
      <c r="J538" s="720"/>
      <c r="K538" s="907"/>
      <c r="L538" s="720"/>
      <c r="M538" s="720"/>
      <c r="N538" s="720"/>
      <c r="O538" s="720"/>
      <c r="P538" s="720"/>
      <c r="Q538" s="720"/>
      <c r="R538" s="720"/>
      <c r="S538" s="720"/>
      <c r="T538" s="720"/>
      <c r="U538" s="720"/>
      <c r="V538" s="720"/>
      <c r="W538" s="720"/>
      <c r="X538" s="720"/>
      <c r="Y538" s="720"/>
      <c r="Z538" s="720"/>
      <c r="AA538" s="720"/>
      <c r="AB538" s="720"/>
    </row>
    <row r="539" spans="1:28" ht="12.75" customHeight="1">
      <c r="A539" s="902"/>
      <c r="B539" s="903"/>
      <c r="C539" s="720"/>
      <c r="D539" s="720"/>
      <c r="E539" s="720"/>
      <c r="F539" s="720"/>
      <c r="G539" s="906"/>
      <c r="H539" s="720"/>
      <c r="I539" s="720"/>
      <c r="J539" s="720"/>
      <c r="K539" s="907"/>
      <c r="L539" s="720"/>
      <c r="M539" s="720"/>
      <c r="N539" s="720"/>
      <c r="O539" s="720"/>
      <c r="P539" s="720"/>
      <c r="Q539" s="720"/>
      <c r="R539" s="720"/>
      <c r="S539" s="720"/>
      <c r="T539" s="720"/>
      <c r="U539" s="720"/>
      <c r="V539" s="720"/>
      <c r="W539" s="720"/>
      <c r="X539" s="720"/>
      <c r="Y539" s="720"/>
      <c r="Z539" s="720"/>
      <c r="AA539" s="720"/>
      <c r="AB539" s="720"/>
    </row>
    <row r="540" spans="1:28" ht="12.75" customHeight="1">
      <c r="A540" s="902"/>
      <c r="B540" s="903"/>
      <c r="C540" s="720"/>
      <c r="D540" s="720"/>
      <c r="E540" s="720"/>
      <c r="F540" s="720"/>
      <c r="G540" s="906"/>
      <c r="H540" s="720"/>
      <c r="I540" s="720"/>
      <c r="J540" s="720"/>
      <c r="K540" s="907"/>
      <c r="L540" s="720"/>
      <c r="M540" s="720"/>
      <c r="N540" s="720"/>
      <c r="O540" s="720"/>
      <c r="P540" s="720"/>
      <c r="Q540" s="720"/>
      <c r="R540" s="720"/>
      <c r="S540" s="720"/>
      <c r="T540" s="720"/>
      <c r="U540" s="720"/>
      <c r="V540" s="720"/>
      <c r="W540" s="720"/>
      <c r="X540" s="720"/>
      <c r="Y540" s="720"/>
      <c r="Z540" s="720"/>
      <c r="AA540" s="720"/>
      <c r="AB540" s="720"/>
    </row>
    <row r="541" spans="1:28" ht="12.75" customHeight="1">
      <c r="A541" s="902"/>
      <c r="B541" s="903"/>
      <c r="C541" s="720"/>
      <c r="D541" s="720"/>
      <c r="E541" s="720"/>
      <c r="F541" s="720"/>
      <c r="G541" s="906"/>
      <c r="H541" s="720"/>
      <c r="I541" s="720"/>
      <c r="J541" s="720"/>
      <c r="K541" s="907"/>
      <c r="L541" s="720"/>
      <c r="M541" s="720"/>
      <c r="N541" s="720"/>
      <c r="O541" s="720"/>
      <c r="P541" s="720"/>
      <c r="Q541" s="720"/>
      <c r="R541" s="720"/>
      <c r="S541" s="720"/>
      <c r="T541" s="720"/>
      <c r="U541" s="720"/>
      <c r="V541" s="720"/>
      <c r="W541" s="720"/>
      <c r="X541" s="720"/>
      <c r="Y541" s="720"/>
      <c r="Z541" s="720"/>
      <c r="AA541" s="720"/>
      <c r="AB541" s="720"/>
    </row>
    <row r="542" spans="1:28" ht="12.75" customHeight="1">
      <c r="A542" s="902"/>
      <c r="B542" s="903"/>
      <c r="C542" s="720"/>
      <c r="D542" s="720"/>
      <c r="E542" s="720"/>
      <c r="F542" s="720"/>
      <c r="G542" s="906"/>
      <c r="H542" s="720"/>
      <c r="I542" s="720"/>
      <c r="J542" s="720"/>
      <c r="K542" s="907"/>
      <c r="L542" s="720"/>
      <c r="M542" s="720"/>
      <c r="N542" s="720"/>
      <c r="O542" s="720"/>
      <c r="P542" s="720"/>
      <c r="Q542" s="720"/>
      <c r="R542" s="720"/>
      <c r="S542" s="720"/>
      <c r="T542" s="720"/>
      <c r="U542" s="720"/>
      <c r="V542" s="720"/>
      <c r="W542" s="720"/>
      <c r="X542" s="720"/>
      <c r="Y542" s="720"/>
      <c r="Z542" s="720"/>
      <c r="AA542" s="720"/>
      <c r="AB542" s="720"/>
    </row>
    <row r="543" spans="1:28" ht="12.75" customHeight="1">
      <c r="A543" s="902"/>
      <c r="B543" s="903"/>
      <c r="C543" s="720"/>
      <c r="D543" s="720"/>
      <c r="E543" s="720"/>
      <c r="F543" s="720"/>
      <c r="G543" s="906"/>
      <c r="H543" s="720"/>
      <c r="I543" s="720"/>
      <c r="J543" s="720"/>
      <c r="K543" s="907"/>
      <c r="L543" s="720"/>
      <c r="M543" s="720"/>
      <c r="N543" s="720"/>
      <c r="O543" s="720"/>
      <c r="P543" s="720"/>
      <c r="Q543" s="720"/>
      <c r="R543" s="720"/>
      <c r="S543" s="720"/>
      <c r="T543" s="720"/>
      <c r="U543" s="720"/>
      <c r="V543" s="720"/>
      <c r="W543" s="720"/>
      <c r="X543" s="720"/>
      <c r="Y543" s="720"/>
      <c r="Z543" s="720"/>
      <c r="AA543" s="720"/>
      <c r="AB543" s="720"/>
    </row>
    <row r="544" spans="1:28" ht="12.75" customHeight="1">
      <c r="A544" s="902"/>
      <c r="B544" s="903"/>
      <c r="C544" s="720"/>
      <c r="D544" s="720"/>
      <c r="E544" s="720"/>
      <c r="F544" s="720"/>
      <c r="G544" s="906"/>
      <c r="H544" s="720"/>
      <c r="I544" s="720"/>
      <c r="J544" s="720"/>
      <c r="K544" s="907"/>
      <c r="L544" s="720"/>
      <c r="M544" s="720"/>
      <c r="N544" s="720"/>
      <c r="O544" s="720"/>
      <c r="P544" s="720"/>
      <c r="Q544" s="720"/>
      <c r="R544" s="720"/>
      <c r="S544" s="720"/>
      <c r="T544" s="720"/>
      <c r="U544" s="720"/>
      <c r="V544" s="720"/>
      <c r="W544" s="720"/>
      <c r="X544" s="720"/>
      <c r="Y544" s="720"/>
      <c r="Z544" s="720"/>
      <c r="AA544" s="720"/>
      <c r="AB544" s="720"/>
    </row>
    <row r="545" spans="1:28" ht="12.75" customHeight="1">
      <c r="A545" s="902"/>
      <c r="B545" s="903"/>
      <c r="C545" s="720"/>
      <c r="D545" s="720"/>
      <c r="E545" s="720"/>
      <c r="F545" s="720"/>
      <c r="G545" s="906"/>
      <c r="H545" s="720"/>
      <c r="I545" s="720"/>
      <c r="J545" s="720"/>
      <c r="K545" s="907"/>
      <c r="L545" s="720"/>
      <c r="M545" s="720"/>
      <c r="N545" s="720"/>
      <c r="O545" s="720"/>
      <c r="P545" s="720"/>
      <c r="Q545" s="720"/>
      <c r="R545" s="720"/>
      <c r="S545" s="720"/>
      <c r="T545" s="720"/>
      <c r="U545" s="720"/>
      <c r="V545" s="720"/>
      <c r="W545" s="720"/>
      <c r="X545" s="720"/>
      <c r="Y545" s="720"/>
      <c r="Z545" s="720"/>
      <c r="AA545" s="720"/>
      <c r="AB545" s="720"/>
    </row>
    <row r="546" spans="1:28" ht="12.75" customHeight="1">
      <c r="A546" s="902"/>
      <c r="B546" s="903"/>
      <c r="C546" s="720"/>
      <c r="D546" s="720"/>
      <c r="E546" s="720"/>
      <c r="F546" s="720"/>
      <c r="G546" s="906"/>
      <c r="H546" s="720"/>
      <c r="I546" s="720"/>
      <c r="J546" s="720"/>
      <c r="K546" s="907"/>
      <c r="L546" s="720"/>
      <c r="M546" s="720"/>
      <c r="N546" s="720"/>
      <c r="O546" s="720"/>
      <c r="P546" s="720"/>
      <c r="Q546" s="720"/>
      <c r="R546" s="720"/>
      <c r="S546" s="720"/>
      <c r="T546" s="720"/>
      <c r="U546" s="720"/>
      <c r="V546" s="720"/>
      <c r="W546" s="720"/>
      <c r="X546" s="720"/>
      <c r="Y546" s="720"/>
      <c r="Z546" s="720"/>
      <c r="AA546" s="720"/>
      <c r="AB546" s="720"/>
    </row>
    <row r="547" spans="1:28" ht="12.75" customHeight="1">
      <c r="A547" s="902"/>
      <c r="B547" s="903"/>
      <c r="C547" s="720"/>
      <c r="D547" s="720"/>
      <c r="E547" s="720"/>
      <c r="F547" s="720"/>
      <c r="G547" s="906"/>
      <c r="H547" s="720"/>
      <c r="I547" s="720"/>
      <c r="J547" s="720"/>
      <c r="K547" s="907"/>
      <c r="L547" s="720"/>
      <c r="M547" s="720"/>
      <c r="N547" s="720"/>
      <c r="O547" s="720"/>
      <c r="P547" s="720"/>
      <c r="Q547" s="720"/>
      <c r="R547" s="720"/>
      <c r="S547" s="720"/>
      <c r="T547" s="720"/>
      <c r="U547" s="720"/>
      <c r="V547" s="720"/>
      <c r="W547" s="720"/>
      <c r="X547" s="720"/>
      <c r="Y547" s="720"/>
      <c r="Z547" s="720"/>
      <c r="AA547" s="720"/>
      <c r="AB547" s="720"/>
    </row>
    <row r="548" spans="1:28" ht="12.75" customHeight="1">
      <c r="A548" s="902"/>
      <c r="B548" s="903"/>
      <c r="C548" s="720"/>
      <c r="D548" s="720"/>
      <c r="E548" s="720"/>
      <c r="F548" s="720"/>
      <c r="G548" s="906"/>
      <c r="H548" s="720"/>
      <c r="I548" s="720"/>
      <c r="J548" s="720"/>
      <c r="K548" s="907"/>
      <c r="L548" s="720"/>
      <c r="M548" s="720"/>
      <c r="N548" s="720"/>
      <c r="O548" s="720"/>
      <c r="P548" s="720"/>
      <c r="Q548" s="720"/>
      <c r="R548" s="720"/>
      <c r="S548" s="720"/>
      <c r="T548" s="720"/>
      <c r="U548" s="720"/>
      <c r="V548" s="720"/>
      <c r="W548" s="720"/>
      <c r="X548" s="720"/>
      <c r="Y548" s="720"/>
      <c r="Z548" s="720"/>
      <c r="AA548" s="720"/>
      <c r="AB548" s="720"/>
    </row>
    <row r="549" spans="1:28" ht="12.75" customHeight="1">
      <c r="A549" s="902"/>
      <c r="B549" s="903"/>
      <c r="C549" s="720"/>
      <c r="D549" s="720"/>
      <c r="E549" s="720"/>
      <c r="F549" s="720"/>
      <c r="G549" s="906"/>
      <c r="H549" s="720"/>
      <c r="I549" s="720"/>
      <c r="J549" s="720"/>
      <c r="K549" s="907"/>
      <c r="L549" s="720"/>
      <c r="M549" s="720"/>
      <c r="N549" s="720"/>
      <c r="O549" s="720"/>
      <c r="P549" s="720"/>
      <c r="Q549" s="720"/>
      <c r="R549" s="720"/>
      <c r="S549" s="720"/>
      <c r="T549" s="720"/>
      <c r="U549" s="720"/>
      <c r="V549" s="720"/>
      <c r="W549" s="720"/>
      <c r="X549" s="720"/>
      <c r="Y549" s="720"/>
      <c r="Z549" s="720"/>
      <c r="AA549" s="720"/>
      <c r="AB549" s="720"/>
    </row>
    <row r="550" spans="1:28" ht="12.75" customHeight="1">
      <c r="A550" s="902"/>
      <c r="B550" s="903"/>
      <c r="C550" s="720"/>
      <c r="D550" s="720"/>
      <c r="E550" s="720"/>
      <c r="F550" s="720"/>
      <c r="G550" s="906"/>
      <c r="H550" s="720"/>
      <c r="I550" s="720"/>
      <c r="J550" s="720"/>
      <c r="K550" s="907"/>
      <c r="L550" s="720"/>
      <c r="M550" s="720"/>
      <c r="N550" s="720"/>
      <c r="O550" s="720"/>
      <c r="P550" s="720"/>
      <c r="Q550" s="720"/>
      <c r="R550" s="720"/>
      <c r="S550" s="720"/>
      <c r="T550" s="720"/>
      <c r="U550" s="720"/>
      <c r="V550" s="720"/>
      <c r="W550" s="720"/>
      <c r="X550" s="720"/>
      <c r="Y550" s="720"/>
      <c r="Z550" s="720"/>
      <c r="AA550" s="720"/>
      <c r="AB550" s="720"/>
    </row>
    <row r="551" spans="1:28" ht="12.75" customHeight="1">
      <c r="A551" s="902"/>
      <c r="B551" s="903"/>
      <c r="C551" s="720"/>
      <c r="D551" s="720"/>
      <c r="E551" s="720"/>
      <c r="F551" s="720"/>
      <c r="G551" s="906"/>
      <c r="H551" s="720"/>
      <c r="I551" s="720"/>
      <c r="J551" s="720"/>
      <c r="K551" s="907"/>
      <c r="L551" s="720"/>
      <c r="M551" s="720"/>
      <c r="N551" s="720"/>
      <c r="O551" s="720"/>
      <c r="P551" s="720"/>
      <c r="Q551" s="720"/>
      <c r="R551" s="720"/>
      <c r="S551" s="720"/>
      <c r="T551" s="720"/>
      <c r="U551" s="720"/>
      <c r="V551" s="720"/>
      <c r="W551" s="720"/>
      <c r="X551" s="720"/>
      <c r="Y551" s="720"/>
      <c r="Z551" s="720"/>
      <c r="AA551" s="720"/>
      <c r="AB551" s="720"/>
    </row>
    <row r="552" spans="1:28" ht="12.75" customHeight="1">
      <c r="A552" s="902"/>
      <c r="B552" s="903"/>
      <c r="C552" s="720"/>
      <c r="D552" s="720"/>
      <c r="E552" s="720"/>
      <c r="F552" s="720"/>
      <c r="G552" s="906"/>
      <c r="H552" s="720"/>
      <c r="I552" s="720"/>
      <c r="J552" s="720"/>
      <c r="K552" s="907"/>
      <c r="L552" s="720"/>
      <c r="M552" s="720"/>
      <c r="N552" s="720"/>
      <c r="O552" s="720"/>
      <c r="P552" s="720"/>
      <c r="Q552" s="720"/>
      <c r="R552" s="720"/>
      <c r="S552" s="720"/>
      <c r="T552" s="720"/>
      <c r="U552" s="720"/>
      <c r="V552" s="720"/>
      <c r="W552" s="720"/>
      <c r="X552" s="720"/>
      <c r="Y552" s="720"/>
      <c r="Z552" s="720"/>
      <c r="AA552" s="720"/>
      <c r="AB552" s="720"/>
    </row>
    <row r="553" spans="1:28" ht="12.75" customHeight="1">
      <c r="A553" s="902"/>
      <c r="B553" s="903"/>
      <c r="C553" s="720"/>
      <c r="D553" s="720"/>
      <c r="E553" s="720"/>
      <c r="F553" s="720"/>
      <c r="G553" s="906"/>
      <c r="H553" s="720"/>
      <c r="I553" s="720"/>
      <c r="J553" s="720"/>
      <c r="K553" s="907"/>
      <c r="L553" s="720"/>
      <c r="M553" s="720"/>
      <c r="N553" s="720"/>
      <c r="O553" s="720"/>
      <c r="P553" s="720"/>
      <c r="Q553" s="720"/>
      <c r="R553" s="720"/>
      <c r="S553" s="720"/>
      <c r="T553" s="720"/>
      <c r="U553" s="720"/>
      <c r="V553" s="720"/>
      <c r="W553" s="720"/>
      <c r="X553" s="720"/>
      <c r="Y553" s="720"/>
      <c r="Z553" s="720"/>
      <c r="AA553" s="720"/>
      <c r="AB553" s="720"/>
    </row>
    <row r="554" spans="1:28" ht="12.75" customHeight="1">
      <c r="A554" s="902"/>
      <c r="B554" s="903"/>
      <c r="C554" s="720"/>
      <c r="D554" s="720"/>
      <c r="E554" s="720"/>
      <c r="F554" s="720"/>
      <c r="G554" s="906"/>
      <c r="H554" s="720"/>
      <c r="I554" s="720"/>
      <c r="J554" s="720"/>
      <c r="K554" s="907"/>
      <c r="L554" s="720"/>
      <c r="M554" s="720"/>
      <c r="N554" s="720"/>
      <c r="O554" s="720"/>
      <c r="P554" s="720"/>
      <c r="Q554" s="720"/>
      <c r="R554" s="720"/>
      <c r="S554" s="720"/>
      <c r="T554" s="720"/>
      <c r="U554" s="720"/>
      <c r="V554" s="720"/>
      <c r="W554" s="720"/>
      <c r="X554" s="720"/>
      <c r="Y554" s="720"/>
      <c r="Z554" s="720"/>
      <c r="AA554" s="720"/>
      <c r="AB554" s="720"/>
    </row>
    <row r="555" spans="1:28" ht="12.75" customHeight="1">
      <c r="A555" s="902"/>
      <c r="B555" s="903"/>
      <c r="C555" s="720"/>
      <c r="D555" s="720"/>
      <c r="E555" s="720"/>
      <c r="F555" s="720"/>
      <c r="G555" s="906"/>
      <c r="H555" s="720"/>
      <c r="I555" s="720"/>
      <c r="J555" s="720"/>
      <c r="K555" s="907"/>
      <c r="L555" s="720"/>
      <c r="M555" s="720"/>
      <c r="N555" s="720"/>
      <c r="O555" s="720"/>
      <c r="P555" s="720"/>
      <c r="Q555" s="720"/>
      <c r="R555" s="720"/>
      <c r="S555" s="720"/>
      <c r="T555" s="720"/>
      <c r="U555" s="720"/>
      <c r="V555" s="720"/>
      <c r="W555" s="720"/>
      <c r="X555" s="720"/>
      <c r="Y555" s="720"/>
      <c r="Z555" s="720"/>
      <c r="AA555" s="720"/>
      <c r="AB555" s="720"/>
    </row>
    <row r="556" spans="1:28" ht="12.75" customHeight="1">
      <c r="A556" s="902"/>
      <c r="B556" s="903"/>
      <c r="C556" s="720"/>
      <c r="D556" s="720"/>
      <c r="E556" s="720"/>
      <c r="F556" s="720"/>
      <c r="G556" s="906"/>
      <c r="H556" s="720"/>
      <c r="I556" s="720"/>
      <c r="J556" s="720"/>
      <c r="K556" s="907"/>
      <c r="L556" s="720"/>
      <c r="M556" s="720"/>
      <c r="N556" s="720"/>
      <c r="O556" s="720"/>
      <c r="P556" s="720"/>
      <c r="Q556" s="720"/>
      <c r="R556" s="720"/>
      <c r="S556" s="720"/>
      <c r="T556" s="720"/>
      <c r="U556" s="720"/>
      <c r="V556" s="720"/>
      <c r="W556" s="720"/>
      <c r="X556" s="720"/>
      <c r="Y556" s="720"/>
      <c r="Z556" s="720"/>
      <c r="AA556" s="720"/>
      <c r="AB556" s="720"/>
    </row>
    <row r="557" spans="1:28" ht="12.75" customHeight="1">
      <c r="A557" s="902"/>
      <c r="B557" s="903"/>
      <c r="C557" s="720"/>
      <c r="D557" s="720"/>
      <c r="E557" s="720"/>
      <c r="F557" s="720"/>
      <c r="G557" s="906"/>
      <c r="H557" s="720"/>
      <c r="I557" s="720"/>
      <c r="J557" s="720"/>
      <c r="K557" s="907"/>
      <c r="L557" s="720"/>
      <c r="M557" s="720"/>
      <c r="N557" s="720"/>
      <c r="O557" s="720"/>
      <c r="P557" s="720"/>
      <c r="Q557" s="720"/>
      <c r="R557" s="720"/>
      <c r="S557" s="720"/>
      <c r="T557" s="720"/>
      <c r="U557" s="720"/>
      <c r="V557" s="720"/>
      <c r="W557" s="720"/>
      <c r="X557" s="720"/>
      <c r="Y557" s="720"/>
      <c r="Z557" s="720"/>
      <c r="AA557" s="720"/>
      <c r="AB557" s="720"/>
    </row>
    <row r="558" spans="1:28" ht="12.75" customHeight="1">
      <c r="A558" s="902"/>
      <c r="B558" s="903"/>
      <c r="C558" s="720"/>
      <c r="D558" s="720"/>
      <c r="E558" s="720"/>
      <c r="F558" s="720"/>
      <c r="G558" s="906"/>
      <c r="H558" s="720"/>
      <c r="I558" s="720"/>
      <c r="J558" s="720"/>
      <c r="K558" s="907"/>
      <c r="L558" s="720"/>
      <c r="M558" s="720"/>
      <c r="N558" s="720"/>
      <c r="O558" s="720"/>
      <c r="P558" s="720"/>
      <c r="Q558" s="720"/>
      <c r="R558" s="720"/>
      <c r="S558" s="720"/>
      <c r="T558" s="720"/>
      <c r="U558" s="720"/>
      <c r="V558" s="720"/>
      <c r="W558" s="720"/>
      <c r="X558" s="720"/>
      <c r="Y558" s="720"/>
      <c r="Z558" s="720"/>
      <c r="AA558" s="720"/>
      <c r="AB558" s="720"/>
    </row>
    <row r="559" spans="1:28" ht="12.75" customHeight="1">
      <c r="A559" s="902"/>
      <c r="B559" s="903"/>
      <c r="C559" s="720"/>
      <c r="D559" s="720"/>
      <c r="E559" s="720"/>
      <c r="F559" s="720"/>
      <c r="G559" s="906"/>
      <c r="H559" s="720"/>
      <c r="I559" s="720"/>
      <c r="J559" s="720"/>
      <c r="K559" s="907"/>
      <c r="L559" s="720"/>
      <c r="M559" s="720"/>
      <c r="N559" s="720"/>
      <c r="O559" s="720"/>
      <c r="P559" s="720"/>
      <c r="Q559" s="720"/>
      <c r="R559" s="720"/>
      <c r="S559" s="720"/>
      <c r="T559" s="720"/>
      <c r="U559" s="720"/>
      <c r="V559" s="720"/>
      <c r="W559" s="720"/>
      <c r="X559" s="720"/>
      <c r="Y559" s="720"/>
      <c r="Z559" s="720"/>
      <c r="AA559" s="720"/>
      <c r="AB559" s="720"/>
    </row>
    <row r="560" spans="1:28" ht="12.75" customHeight="1">
      <c r="A560" s="902"/>
      <c r="B560" s="903"/>
      <c r="C560" s="720"/>
      <c r="D560" s="720"/>
      <c r="E560" s="720"/>
      <c r="F560" s="720"/>
      <c r="G560" s="906"/>
      <c r="H560" s="720"/>
      <c r="I560" s="720"/>
      <c r="J560" s="720"/>
      <c r="K560" s="907"/>
      <c r="L560" s="720"/>
      <c r="M560" s="720"/>
      <c r="N560" s="720"/>
      <c r="O560" s="720"/>
      <c r="P560" s="720"/>
      <c r="Q560" s="720"/>
      <c r="R560" s="720"/>
      <c r="S560" s="720"/>
      <c r="T560" s="720"/>
      <c r="U560" s="720"/>
      <c r="V560" s="720"/>
      <c r="W560" s="720"/>
      <c r="X560" s="720"/>
      <c r="Y560" s="720"/>
      <c r="Z560" s="720"/>
      <c r="AA560" s="720"/>
      <c r="AB560" s="720"/>
    </row>
    <row r="561" spans="1:28" ht="12.75" customHeight="1">
      <c r="A561" s="902"/>
      <c r="B561" s="903"/>
      <c r="C561" s="720"/>
      <c r="D561" s="720"/>
      <c r="E561" s="720"/>
      <c r="F561" s="720"/>
      <c r="G561" s="906"/>
      <c r="H561" s="720"/>
      <c r="I561" s="720"/>
      <c r="J561" s="720"/>
      <c r="K561" s="907"/>
      <c r="L561" s="720"/>
      <c r="M561" s="720"/>
      <c r="N561" s="720"/>
      <c r="O561" s="720"/>
      <c r="P561" s="720"/>
      <c r="Q561" s="720"/>
      <c r="R561" s="720"/>
      <c r="S561" s="720"/>
      <c r="T561" s="720"/>
      <c r="U561" s="720"/>
      <c r="V561" s="720"/>
      <c r="W561" s="720"/>
      <c r="X561" s="720"/>
      <c r="Y561" s="720"/>
      <c r="Z561" s="720"/>
      <c r="AA561" s="720"/>
      <c r="AB561" s="720"/>
    </row>
    <row r="562" spans="1:28" ht="12.75" customHeight="1">
      <c r="A562" s="902"/>
      <c r="B562" s="903"/>
      <c r="C562" s="720"/>
      <c r="D562" s="720"/>
      <c r="E562" s="720"/>
      <c r="F562" s="720"/>
      <c r="G562" s="906"/>
      <c r="H562" s="720"/>
      <c r="I562" s="720"/>
      <c r="J562" s="720"/>
      <c r="K562" s="907"/>
      <c r="L562" s="720"/>
      <c r="M562" s="720"/>
      <c r="N562" s="720"/>
      <c r="O562" s="720"/>
      <c r="P562" s="720"/>
      <c r="Q562" s="720"/>
      <c r="R562" s="720"/>
      <c r="S562" s="720"/>
      <c r="T562" s="720"/>
      <c r="U562" s="720"/>
      <c r="V562" s="720"/>
      <c r="W562" s="720"/>
      <c r="X562" s="720"/>
      <c r="Y562" s="720"/>
      <c r="Z562" s="720"/>
      <c r="AA562" s="720"/>
      <c r="AB562" s="720"/>
    </row>
    <row r="563" spans="1:28" ht="12.75" customHeight="1">
      <c r="A563" s="902"/>
      <c r="B563" s="903"/>
      <c r="C563" s="720"/>
      <c r="D563" s="720"/>
      <c r="E563" s="720"/>
      <c r="F563" s="720"/>
      <c r="G563" s="906"/>
      <c r="H563" s="720"/>
      <c r="I563" s="720"/>
      <c r="J563" s="720"/>
      <c r="K563" s="907"/>
      <c r="L563" s="720"/>
      <c r="M563" s="720"/>
      <c r="N563" s="720"/>
      <c r="O563" s="720"/>
      <c r="P563" s="720"/>
      <c r="Q563" s="720"/>
      <c r="R563" s="720"/>
      <c r="S563" s="720"/>
      <c r="T563" s="720"/>
      <c r="U563" s="720"/>
      <c r="V563" s="720"/>
      <c r="W563" s="720"/>
      <c r="X563" s="720"/>
      <c r="Y563" s="720"/>
      <c r="Z563" s="720"/>
      <c r="AA563" s="720"/>
      <c r="AB563" s="720"/>
    </row>
    <row r="564" spans="1:28" ht="12.75" customHeight="1">
      <c r="A564" s="902"/>
      <c r="B564" s="903"/>
      <c r="C564" s="720"/>
      <c r="D564" s="720"/>
      <c r="E564" s="720"/>
      <c r="F564" s="720"/>
      <c r="G564" s="906"/>
      <c r="H564" s="720"/>
      <c r="I564" s="720"/>
      <c r="J564" s="720"/>
      <c r="K564" s="907"/>
      <c r="L564" s="720"/>
      <c r="M564" s="720"/>
      <c r="N564" s="720"/>
      <c r="O564" s="720"/>
      <c r="P564" s="720"/>
      <c r="Q564" s="720"/>
      <c r="R564" s="720"/>
      <c r="S564" s="720"/>
      <c r="T564" s="720"/>
      <c r="U564" s="720"/>
      <c r="V564" s="720"/>
      <c r="W564" s="720"/>
      <c r="X564" s="720"/>
      <c r="Y564" s="720"/>
      <c r="Z564" s="720"/>
      <c r="AA564" s="720"/>
      <c r="AB564" s="720"/>
    </row>
    <row r="565" spans="1:28" ht="12.75" customHeight="1">
      <c r="A565" s="902"/>
      <c r="B565" s="903"/>
      <c r="C565" s="720"/>
      <c r="D565" s="720"/>
      <c r="E565" s="720"/>
      <c r="F565" s="720"/>
      <c r="G565" s="906"/>
      <c r="H565" s="720"/>
      <c r="I565" s="720"/>
      <c r="J565" s="720"/>
      <c r="K565" s="907"/>
      <c r="L565" s="720"/>
      <c r="M565" s="720"/>
      <c r="N565" s="720"/>
      <c r="O565" s="720"/>
      <c r="P565" s="720"/>
      <c r="Q565" s="720"/>
      <c r="R565" s="720"/>
      <c r="S565" s="720"/>
      <c r="T565" s="720"/>
      <c r="U565" s="720"/>
      <c r="V565" s="720"/>
      <c r="W565" s="720"/>
      <c r="X565" s="720"/>
      <c r="Y565" s="720"/>
      <c r="Z565" s="720"/>
      <c r="AA565" s="720"/>
      <c r="AB565" s="720"/>
    </row>
    <row r="566" spans="1:28" ht="12.75" customHeight="1">
      <c r="A566" s="902"/>
      <c r="B566" s="903"/>
      <c r="C566" s="720"/>
      <c r="D566" s="720"/>
      <c r="E566" s="720"/>
      <c r="F566" s="720"/>
      <c r="G566" s="906"/>
      <c r="H566" s="720"/>
      <c r="I566" s="720"/>
      <c r="J566" s="720"/>
      <c r="K566" s="907"/>
      <c r="L566" s="720"/>
      <c r="M566" s="720"/>
      <c r="N566" s="720"/>
      <c r="O566" s="720"/>
      <c r="P566" s="720"/>
      <c r="Q566" s="720"/>
      <c r="R566" s="720"/>
      <c r="S566" s="720"/>
      <c r="T566" s="720"/>
      <c r="U566" s="720"/>
      <c r="V566" s="720"/>
      <c r="W566" s="720"/>
      <c r="X566" s="720"/>
      <c r="Y566" s="720"/>
      <c r="Z566" s="720"/>
      <c r="AA566" s="720"/>
      <c r="AB566" s="720"/>
    </row>
    <row r="567" spans="1:28" ht="12.75" customHeight="1">
      <c r="A567" s="902"/>
      <c r="B567" s="903"/>
      <c r="C567" s="720"/>
      <c r="D567" s="720"/>
      <c r="E567" s="720"/>
      <c r="F567" s="720"/>
      <c r="G567" s="906"/>
      <c r="H567" s="720"/>
      <c r="I567" s="720"/>
      <c r="J567" s="720"/>
      <c r="K567" s="907"/>
      <c r="L567" s="720"/>
      <c r="M567" s="720"/>
      <c r="N567" s="720"/>
      <c r="O567" s="720"/>
      <c r="P567" s="720"/>
      <c r="Q567" s="720"/>
      <c r="R567" s="720"/>
      <c r="S567" s="720"/>
      <c r="T567" s="720"/>
      <c r="U567" s="720"/>
      <c r="V567" s="720"/>
      <c r="W567" s="720"/>
      <c r="X567" s="720"/>
      <c r="Y567" s="720"/>
      <c r="Z567" s="720"/>
      <c r="AA567" s="720"/>
      <c r="AB567" s="720"/>
    </row>
    <row r="568" spans="1:28" ht="12.75" customHeight="1">
      <c r="A568" s="902"/>
      <c r="B568" s="903"/>
      <c r="C568" s="720"/>
      <c r="D568" s="720"/>
      <c r="E568" s="720"/>
      <c r="F568" s="720"/>
      <c r="G568" s="906"/>
      <c r="H568" s="720"/>
      <c r="I568" s="720"/>
      <c r="J568" s="720"/>
      <c r="K568" s="907"/>
      <c r="L568" s="720"/>
      <c r="M568" s="720"/>
      <c r="N568" s="720"/>
      <c r="O568" s="720"/>
      <c r="P568" s="720"/>
      <c r="Q568" s="720"/>
      <c r="R568" s="720"/>
      <c r="S568" s="720"/>
      <c r="T568" s="720"/>
      <c r="U568" s="720"/>
      <c r="V568" s="720"/>
      <c r="W568" s="720"/>
      <c r="X568" s="720"/>
      <c r="Y568" s="720"/>
      <c r="Z568" s="720"/>
      <c r="AA568" s="720"/>
      <c r="AB568" s="720"/>
    </row>
    <row r="569" spans="1:28" ht="12.75" customHeight="1">
      <c r="A569" s="902"/>
      <c r="B569" s="903"/>
      <c r="C569" s="720"/>
      <c r="D569" s="720"/>
      <c r="E569" s="720"/>
      <c r="F569" s="720"/>
      <c r="G569" s="906"/>
      <c r="H569" s="720"/>
      <c r="I569" s="720"/>
      <c r="J569" s="720"/>
      <c r="K569" s="907"/>
      <c r="L569" s="720"/>
      <c r="M569" s="720"/>
      <c r="N569" s="720"/>
      <c r="O569" s="720"/>
      <c r="P569" s="720"/>
      <c r="Q569" s="720"/>
      <c r="R569" s="720"/>
      <c r="S569" s="720"/>
      <c r="T569" s="720"/>
      <c r="U569" s="720"/>
      <c r="V569" s="720"/>
      <c r="W569" s="720"/>
      <c r="X569" s="720"/>
      <c r="Y569" s="720"/>
      <c r="Z569" s="720"/>
      <c r="AA569" s="720"/>
      <c r="AB569" s="720"/>
    </row>
    <row r="570" spans="1:28" ht="12.75" customHeight="1">
      <c r="A570" s="902"/>
      <c r="B570" s="903"/>
      <c r="C570" s="720"/>
      <c r="D570" s="720"/>
      <c r="E570" s="720"/>
      <c r="F570" s="720"/>
      <c r="G570" s="906"/>
      <c r="H570" s="720"/>
      <c r="I570" s="720"/>
      <c r="J570" s="720"/>
      <c r="K570" s="907"/>
      <c r="L570" s="720"/>
      <c r="M570" s="720"/>
      <c r="N570" s="720"/>
      <c r="O570" s="720"/>
      <c r="P570" s="720"/>
      <c r="Q570" s="720"/>
      <c r="R570" s="720"/>
      <c r="S570" s="720"/>
      <c r="T570" s="720"/>
      <c r="U570" s="720"/>
      <c r="V570" s="720"/>
      <c r="W570" s="720"/>
      <c r="X570" s="720"/>
      <c r="Y570" s="720"/>
      <c r="Z570" s="720"/>
      <c r="AA570" s="720"/>
      <c r="AB570" s="720"/>
    </row>
    <row r="571" spans="1:28" ht="12.75" customHeight="1">
      <c r="A571" s="902"/>
      <c r="B571" s="903"/>
      <c r="C571" s="720"/>
      <c r="D571" s="720"/>
      <c r="E571" s="720"/>
      <c r="F571" s="720"/>
      <c r="G571" s="906"/>
      <c r="H571" s="720"/>
      <c r="I571" s="720"/>
      <c r="J571" s="720"/>
      <c r="K571" s="907"/>
      <c r="L571" s="720"/>
      <c r="M571" s="720"/>
      <c r="N571" s="720"/>
      <c r="O571" s="720"/>
      <c r="P571" s="720"/>
      <c r="Q571" s="720"/>
      <c r="R571" s="720"/>
      <c r="S571" s="720"/>
      <c r="T571" s="720"/>
      <c r="U571" s="720"/>
      <c r="V571" s="720"/>
      <c r="W571" s="720"/>
      <c r="X571" s="720"/>
      <c r="Y571" s="720"/>
      <c r="Z571" s="720"/>
      <c r="AA571" s="720"/>
      <c r="AB571" s="720"/>
    </row>
    <row r="572" spans="1:28" ht="12.75" customHeight="1">
      <c r="A572" s="902"/>
      <c r="B572" s="903"/>
      <c r="C572" s="720"/>
      <c r="D572" s="720"/>
      <c r="E572" s="720"/>
      <c r="F572" s="720"/>
      <c r="G572" s="906"/>
      <c r="H572" s="720"/>
      <c r="I572" s="720"/>
      <c r="J572" s="720"/>
      <c r="K572" s="907"/>
      <c r="L572" s="720"/>
      <c r="M572" s="720"/>
      <c r="N572" s="720"/>
      <c r="O572" s="720"/>
      <c r="P572" s="720"/>
      <c r="Q572" s="720"/>
      <c r="R572" s="720"/>
      <c r="S572" s="720"/>
      <c r="T572" s="720"/>
      <c r="U572" s="720"/>
      <c r="V572" s="720"/>
      <c r="W572" s="720"/>
      <c r="X572" s="720"/>
      <c r="Y572" s="720"/>
      <c r="Z572" s="720"/>
      <c r="AA572" s="720"/>
      <c r="AB572" s="720"/>
    </row>
    <row r="573" spans="1:28" ht="12.75" customHeight="1">
      <c r="A573" s="902"/>
      <c r="B573" s="903"/>
      <c r="C573" s="720"/>
      <c r="D573" s="720"/>
      <c r="E573" s="720"/>
      <c r="F573" s="720"/>
      <c r="G573" s="906"/>
      <c r="H573" s="720"/>
      <c r="I573" s="720"/>
      <c r="J573" s="720"/>
      <c r="K573" s="907"/>
      <c r="L573" s="720"/>
      <c r="M573" s="720"/>
      <c r="N573" s="720"/>
      <c r="O573" s="720"/>
      <c r="P573" s="720"/>
      <c r="Q573" s="720"/>
      <c r="R573" s="720"/>
      <c r="S573" s="720"/>
      <c r="T573" s="720"/>
      <c r="U573" s="720"/>
      <c r="V573" s="720"/>
      <c r="W573" s="720"/>
      <c r="X573" s="720"/>
      <c r="Y573" s="720"/>
      <c r="Z573" s="720"/>
      <c r="AA573" s="720"/>
      <c r="AB573" s="720"/>
    </row>
    <row r="574" spans="1:28" ht="12.75" customHeight="1">
      <c r="A574" s="902"/>
      <c r="B574" s="903"/>
      <c r="C574" s="720"/>
      <c r="D574" s="720"/>
      <c r="E574" s="720"/>
      <c r="F574" s="720"/>
      <c r="G574" s="906"/>
      <c r="H574" s="720"/>
      <c r="I574" s="720"/>
      <c r="J574" s="720"/>
      <c r="K574" s="907"/>
      <c r="L574" s="720"/>
      <c r="M574" s="720"/>
      <c r="N574" s="720"/>
      <c r="O574" s="720"/>
      <c r="P574" s="720"/>
      <c r="Q574" s="720"/>
      <c r="R574" s="720"/>
      <c r="S574" s="720"/>
      <c r="T574" s="720"/>
      <c r="U574" s="720"/>
      <c r="V574" s="720"/>
      <c r="W574" s="720"/>
      <c r="X574" s="720"/>
      <c r="Y574" s="720"/>
      <c r="Z574" s="720"/>
      <c r="AA574" s="720"/>
      <c r="AB574" s="720"/>
    </row>
    <row r="575" spans="1:28" ht="12.75" customHeight="1">
      <c r="A575" s="902"/>
      <c r="B575" s="903"/>
      <c r="C575" s="720"/>
      <c r="D575" s="720"/>
      <c r="E575" s="720"/>
      <c r="F575" s="720"/>
      <c r="G575" s="906"/>
      <c r="H575" s="720"/>
      <c r="I575" s="720"/>
      <c r="J575" s="720"/>
      <c r="K575" s="907"/>
      <c r="L575" s="720"/>
      <c r="M575" s="720"/>
      <c r="N575" s="720"/>
      <c r="O575" s="720"/>
      <c r="P575" s="720"/>
      <c r="Q575" s="720"/>
      <c r="R575" s="720"/>
      <c r="S575" s="720"/>
      <c r="T575" s="720"/>
      <c r="U575" s="720"/>
      <c r="V575" s="720"/>
      <c r="W575" s="720"/>
      <c r="X575" s="720"/>
      <c r="Y575" s="720"/>
      <c r="Z575" s="720"/>
      <c r="AA575" s="720"/>
      <c r="AB575" s="720"/>
    </row>
    <row r="576" spans="1:28" ht="12.75" customHeight="1">
      <c r="A576" s="902"/>
      <c r="B576" s="903"/>
      <c r="C576" s="720"/>
      <c r="D576" s="720"/>
      <c r="E576" s="720"/>
      <c r="F576" s="720"/>
      <c r="G576" s="906"/>
      <c r="H576" s="720"/>
      <c r="I576" s="720"/>
      <c r="J576" s="720"/>
      <c r="K576" s="907"/>
      <c r="L576" s="720"/>
      <c r="M576" s="720"/>
      <c r="N576" s="720"/>
      <c r="O576" s="720"/>
      <c r="P576" s="720"/>
      <c r="Q576" s="720"/>
      <c r="R576" s="720"/>
      <c r="S576" s="720"/>
      <c r="T576" s="720"/>
      <c r="U576" s="720"/>
      <c r="V576" s="720"/>
      <c r="W576" s="720"/>
      <c r="X576" s="720"/>
      <c r="Y576" s="720"/>
      <c r="Z576" s="720"/>
      <c r="AA576" s="720"/>
      <c r="AB576" s="720"/>
    </row>
    <row r="577" spans="1:28" ht="12.75" customHeight="1">
      <c r="A577" s="902"/>
      <c r="B577" s="903"/>
      <c r="C577" s="720"/>
      <c r="D577" s="720"/>
      <c r="E577" s="720"/>
      <c r="F577" s="720"/>
      <c r="G577" s="906"/>
      <c r="H577" s="720"/>
      <c r="I577" s="720"/>
      <c r="J577" s="720"/>
      <c r="K577" s="907"/>
      <c r="L577" s="720"/>
      <c r="M577" s="720"/>
      <c r="N577" s="720"/>
      <c r="O577" s="720"/>
      <c r="P577" s="720"/>
      <c r="Q577" s="720"/>
      <c r="R577" s="720"/>
      <c r="S577" s="720"/>
      <c r="T577" s="720"/>
      <c r="U577" s="720"/>
      <c r="V577" s="720"/>
      <c r="W577" s="720"/>
      <c r="X577" s="720"/>
      <c r="Y577" s="720"/>
      <c r="Z577" s="720"/>
      <c r="AA577" s="720"/>
      <c r="AB577" s="720"/>
    </row>
    <row r="578" spans="1:28" ht="12.75" customHeight="1">
      <c r="A578" s="902"/>
      <c r="B578" s="903"/>
      <c r="C578" s="720"/>
      <c r="D578" s="720"/>
      <c r="E578" s="720"/>
      <c r="F578" s="720"/>
      <c r="G578" s="906"/>
      <c r="H578" s="720"/>
      <c r="I578" s="720"/>
      <c r="J578" s="720"/>
      <c r="K578" s="907"/>
      <c r="L578" s="720"/>
      <c r="M578" s="720"/>
      <c r="N578" s="720"/>
      <c r="O578" s="720"/>
      <c r="P578" s="720"/>
      <c r="Q578" s="720"/>
      <c r="R578" s="720"/>
      <c r="S578" s="720"/>
      <c r="T578" s="720"/>
      <c r="U578" s="720"/>
      <c r="V578" s="720"/>
      <c r="W578" s="720"/>
      <c r="X578" s="720"/>
      <c r="Y578" s="720"/>
      <c r="Z578" s="720"/>
      <c r="AA578" s="720"/>
      <c r="AB578" s="720"/>
    </row>
    <row r="579" spans="1:28" ht="12.75" customHeight="1">
      <c r="A579" s="902"/>
      <c r="B579" s="903"/>
      <c r="C579" s="720"/>
      <c r="D579" s="720"/>
      <c r="E579" s="720"/>
      <c r="F579" s="720"/>
      <c r="G579" s="906"/>
      <c r="H579" s="720"/>
      <c r="I579" s="720"/>
      <c r="J579" s="720"/>
      <c r="K579" s="907"/>
      <c r="L579" s="720"/>
      <c r="M579" s="720"/>
      <c r="N579" s="720"/>
      <c r="O579" s="720"/>
      <c r="P579" s="720"/>
      <c r="Q579" s="720"/>
      <c r="R579" s="720"/>
      <c r="S579" s="720"/>
      <c r="T579" s="720"/>
      <c r="U579" s="720"/>
      <c r="V579" s="720"/>
      <c r="W579" s="720"/>
      <c r="X579" s="720"/>
      <c r="Y579" s="720"/>
      <c r="Z579" s="720"/>
      <c r="AA579" s="720"/>
      <c r="AB579" s="720"/>
    </row>
    <row r="580" spans="1:28" ht="12.75" customHeight="1">
      <c r="A580" s="902"/>
      <c r="B580" s="903"/>
      <c r="C580" s="720"/>
      <c r="D580" s="720"/>
      <c r="E580" s="720"/>
      <c r="F580" s="720"/>
      <c r="G580" s="906"/>
      <c r="H580" s="720"/>
      <c r="I580" s="720"/>
      <c r="J580" s="720"/>
      <c r="K580" s="907"/>
      <c r="L580" s="720"/>
      <c r="M580" s="720"/>
      <c r="N580" s="720"/>
      <c r="O580" s="720"/>
      <c r="P580" s="720"/>
      <c r="Q580" s="720"/>
      <c r="R580" s="720"/>
      <c r="S580" s="720"/>
      <c r="T580" s="720"/>
      <c r="U580" s="720"/>
      <c r="V580" s="720"/>
      <c r="W580" s="720"/>
      <c r="X580" s="720"/>
      <c r="Y580" s="720"/>
      <c r="Z580" s="720"/>
      <c r="AA580" s="720"/>
      <c r="AB580" s="720"/>
    </row>
    <row r="581" spans="1:28" ht="12.75" customHeight="1">
      <c r="A581" s="902"/>
      <c r="B581" s="903"/>
      <c r="C581" s="720"/>
      <c r="D581" s="720"/>
      <c r="E581" s="720"/>
      <c r="F581" s="720"/>
      <c r="G581" s="906"/>
      <c r="H581" s="720"/>
      <c r="I581" s="720"/>
      <c r="J581" s="720"/>
      <c r="K581" s="907"/>
      <c r="L581" s="720"/>
      <c r="M581" s="720"/>
      <c r="N581" s="720"/>
      <c r="O581" s="720"/>
      <c r="P581" s="720"/>
      <c r="Q581" s="720"/>
      <c r="R581" s="720"/>
      <c r="S581" s="720"/>
      <c r="T581" s="720"/>
      <c r="U581" s="720"/>
      <c r="V581" s="720"/>
      <c r="W581" s="720"/>
      <c r="X581" s="720"/>
      <c r="Y581" s="720"/>
      <c r="Z581" s="720"/>
      <c r="AA581" s="720"/>
      <c r="AB581" s="720"/>
    </row>
    <row r="582" spans="1:28" ht="12.75" customHeight="1">
      <c r="A582" s="902"/>
      <c r="B582" s="903"/>
      <c r="C582" s="720"/>
      <c r="D582" s="720"/>
      <c r="E582" s="720"/>
      <c r="F582" s="720"/>
      <c r="G582" s="906"/>
      <c r="H582" s="720"/>
      <c r="I582" s="720"/>
      <c r="J582" s="720"/>
      <c r="K582" s="907"/>
      <c r="L582" s="720"/>
      <c r="M582" s="720"/>
      <c r="N582" s="720"/>
      <c r="O582" s="720"/>
      <c r="P582" s="720"/>
      <c r="Q582" s="720"/>
      <c r="R582" s="720"/>
      <c r="S582" s="720"/>
      <c r="T582" s="720"/>
      <c r="U582" s="720"/>
      <c r="V582" s="720"/>
      <c r="W582" s="720"/>
      <c r="X582" s="720"/>
      <c r="Y582" s="720"/>
      <c r="Z582" s="720"/>
      <c r="AA582" s="720"/>
      <c r="AB582" s="720"/>
    </row>
    <row r="583" spans="1:28" ht="12.75" customHeight="1">
      <c r="A583" s="902"/>
      <c r="B583" s="903"/>
      <c r="C583" s="720"/>
      <c r="D583" s="720"/>
      <c r="E583" s="720"/>
      <c r="F583" s="720"/>
      <c r="G583" s="906"/>
      <c r="H583" s="720"/>
      <c r="I583" s="720"/>
      <c r="J583" s="720"/>
      <c r="K583" s="907"/>
      <c r="L583" s="720"/>
      <c r="M583" s="720"/>
      <c r="N583" s="720"/>
      <c r="O583" s="720"/>
      <c r="P583" s="720"/>
      <c r="Q583" s="720"/>
      <c r="R583" s="720"/>
      <c r="S583" s="720"/>
      <c r="T583" s="720"/>
      <c r="U583" s="720"/>
      <c r="V583" s="720"/>
      <c r="W583" s="720"/>
      <c r="X583" s="720"/>
      <c r="Y583" s="720"/>
      <c r="Z583" s="720"/>
      <c r="AA583" s="720"/>
      <c r="AB583" s="720"/>
    </row>
    <row r="584" spans="1:28" ht="12.75" customHeight="1">
      <c r="A584" s="902"/>
      <c r="B584" s="903"/>
      <c r="C584" s="720"/>
      <c r="D584" s="720"/>
      <c r="E584" s="720"/>
      <c r="F584" s="720"/>
      <c r="G584" s="906"/>
      <c r="H584" s="720"/>
      <c r="I584" s="720"/>
      <c r="J584" s="720"/>
      <c r="K584" s="907"/>
      <c r="L584" s="720"/>
      <c r="M584" s="720"/>
      <c r="N584" s="720"/>
      <c r="O584" s="720"/>
      <c r="P584" s="720"/>
      <c r="Q584" s="720"/>
      <c r="R584" s="720"/>
      <c r="S584" s="720"/>
      <c r="T584" s="720"/>
      <c r="U584" s="720"/>
      <c r="V584" s="720"/>
      <c r="W584" s="720"/>
      <c r="X584" s="720"/>
      <c r="Y584" s="720"/>
      <c r="Z584" s="720"/>
      <c r="AA584" s="720"/>
      <c r="AB584" s="720"/>
    </row>
    <row r="585" spans="1:28" ht="12.75" customHeight="1">
      <c r="A585" s="902"/>
      <c r="B585" s="903"/>
      <c r="C585" s="720"/>
      <c r="D585" s="720"/>
      <c r="E585" s="720"/>
      <c r="F585" s="720"/>
      <c r="G585" s="906"/>
      <c r="H585" s="720"/>
      <c r="I585" s="720"/>
      <c r="J585" s="720"/>
      <c r="K585" s="907"/>
      <c r="L585" s="720"/>
      <c r="M585" s="720"/>
      <c r="N585" s="720"/>
      <c r="O585" s="720"/>
      <c r="P585" s="720"/>
      <c r="Q585" s="720"/>
      <c r="R585" s="720"/>
      <c r="S585" s="720"/>
      <c r="T585" s="720"/>
      <c r="U585" s="720"/>
      <c r="V585" s="720"/>
      <c r="W585" s="720"/>
      <c r="X585" s="720"/>
      <c r="Y585" s="720"/>
      <c r="Z585" s="720"/>
      <c r="AA585" s="720"/>
      <c r="AB585" s="720"/>
    </row>
    <row r="586" spans="1:28" ht="12.75" customHeight="1">
      <c r="A586" s="902"/>
      <c r="B586" s="903"/>
      <c r="C586" s="720"/>
      <c r="D586" s="720"/>
      <c r="E586" s="720"/>
      <c r="F586" s="720"/>
      <c r="G586" s="906"/>
      <c r="H586" s="720"/>
      <c r="I586" s="720"/>
      <c r="J586" s="720"/>
      <c r="K586" s="907"/>
      <c r="L586" s="720"/>
      <c r="M586" s="720"/>
      <c r="N586" s="720"/>
      <c r="O586" s="720"/>
      <c r="P586" s="720"/>
      <c r="Q586" s="720"/>
      <c r="R586" s="720"/>
      <c r="S586" s="720"/>
      <c r="T586" s="720"/>
      <c r="U586" s="720"/>
      <c r="V586" s="720"/>
      <c r="W586" s="720"/>
      <c r="X586" s="720"/>
      <c r="Y586" s="720"/>
      <c r="Z586" s="720"/>
      <c r="AA586" s="720"/>
      <c r="AB586" s="720"/>
    </row>
    <row r="587" spans="1:28" ht="12.75" customHeight="1">
      <c r="A587" s="902"/>
      <c r="B587" s="903"/>
      <c r="C587" s="720"/>
      <c r="D587" s="720"/>
      <c r="E587" s="720"/>
      <c r="F587" s="720"/>
      <c r="G587" s="906"/>
      <c r="H587" s="720"/>
      <c r="I587" s="720"/>
      <c r="J587" s="720"/>
      <c r="K587" s="907"/>
      <c r="L587" s="720"/>
      <c r="M587" s="720"/>
      <c r="N587" s="720"/>
      <c r="O587" s="720"/>
      <c r="P587" s="720"/>
      <c r="Q587" s="720"/>
      <c r="R587" s="720"/>
      <c r="S587" s="720"/>
      <c r="T587" s="720"/>
      <c r="U587" s="720"/>
      <c r="V587" s="720"/>
      <c r="W587" s="720"/>
      <c r="X587" s="720"/>
      <c r="Y587" s="720"/>
      <c r="Z587" s="720"/>
      <c r="AA587" s="720"/>
      <c r="AB587" s="720"/>
    </row>
    <row r="588" spans="1:28" ht="12.75" customHeight="1">
      <c r="A588" s="902"/>
      <c r="B588" s="903"/>
      <c r="C588" s="720"/>
      <c r="D588" s="720"/>
      <c r="E588" s="720"/>
      <c r="F588" s="720"/>
      <c r="G588" s="906"/>
      <c r="H588" s="720"/>
      <c r="I588" s="720"/>
      <c r="J588" s="720"/>
      <c r="K588" s="907"/>
      <c r="L588" s="720"/>
      <c r="M588" s="720"/>
      <c r="N588" s="720"/>
      <c r="O588" s="720"/>
      <c r="P588" s="720"/>
      <c r="Q588" s="720"/>
      <c r="R588" s="720"/>
      <c r="S588" s="720"/>
      <c r="T588" s="720"/>
      <c r="U588" s="720"/>
      <c r="V588" s="720"/>
      <c r="W588" s="720"/>
      <c r="X588" s="720"/>
      <c r="Y588" s="720"/>
      <c r="Z588" s="720"/>
      <c r="AA588" s="720"/>
      <c r="AB588" s="720"/>
    </row>
    <row r="589" spans="1:28" ht="12.75" customHeight="1">
      <c r="A589" s="902"/>
      <c r="B589" s="903"/>
      <c r="C589" s="720"/>
      <c r="D589" s="720"/>
      <c r="E589" s="720"/>
      <c r="F589" s="720"/>
      <c r="G589" s="906"/>
      <c r="H589" s="720"/>
      <c r="I589" s="720"/>
      <c r="J589" s="720"/>
      <c r="K589" s="907"/>
      <c r="L589" s="720"/>
      <c r="M589" s="720"/>
      <c r="N589" s="720"/>
      <c r="O589" s="720"/>
      <c r="P589" s="720"/>
      <c r="Q589" s="720"/>
      <c r="R589" s="720"/>
      <c r="S589" s="720"/>
      <c r="T589" s="720"/>
      <c r="U589" s="720"/>
      <c r="V589" s="720"/>
      <c r="W589" s="720"/>
      <c r="X589" s="720"/>
      <c r="Y589" s="720"/>
      <c r="Z589" s="720"/>
      <c r="AA589" s="720"/>
      <c r="AB589" s="720"/>
    </row>
    <row r="590" spans="1:28" ht="12.75" customHeight="1">
      <c r="A590" s="902"/>
      <c r="B590" s="903"/>
      <c r="C590" s="720"/>
      <c r="D590" s="720"/>
      <c r="E590" s="720"/>
      <c r="F590" s="720"/>
      <c r="G590" s="906"/>
      <c r="H590" s="720"/>
      <c r="I590" s="720"/>
      <c r="J590" s="720"/>
      <c r="K590" s="907"/>
      <c r="L590" s="720"/>
      <c r="M590" s="720"/>
      <c r="N590" s="720"/>
      <c r="O590" s="720"/>
      <c r="P590" s="720"/>
      <c r="Q590" s="720"/>
      <c r="R590" s="720"/>
      <c r="S590" s="720"/>
      <c r="T590" s="720"/>
      <c r="U590" s="720"/>
      <c r="V590" s="720"/>
      <c r="W590" s="720"/>
      <c r="X590" s="720"/>
      <c r="Y590" s="720"/>
      <c r="Z590" s="720"/>
      <c r="AA590" s="720"/>
      <c r="AB590" s="720"/>
    </row>
    <row r="591" spans="1:28" ht="12.75" customHeight="1">
      <c r="A591" s="902"/>
      <c r="B591" s="903"/>
      <c r="C591" s="720"/>
      <c r="D591" s="720"/>
      <c r="E591" s="720"/>
      <c r="F591" s="720"/>
      <c r="G591" s="906"/>
      <c r="H591" s="720"/>
      <c r="I591" s="720"/>
      <c r="J591" s="720"/>
      <c r="K591" s="907"/>
      <c r="L591" s="720"/>
      <c r="M591" s="720"/>
      <c r="N591" s="720"/>
      <c r="O591" s="720"/>
      <c r="P591" s="720"/>
      <c r="Q591" s="720"/>
      <c r="R591" s="720"/>
      <c r="S591" s="720"/>
      <c r="T591" s="720"/>
      <c r="U591" s="720"/>
      <c r="V591" s="720"/>
      <c r="W591" s="720"/>
      <c r="X591" s="720"/>
      <c r="Y591" s="720"/>
      <c r="Z591" s="720"/>
      <c r="AA591" s="720"/>
      <c r="AB591" s="720"/>
    </row>
    <row r="592" spans="1:28" ht="12.75" customHeight="1">
      <c r="A592" s="902"/>
      <c r="B592" s="903"/>
      <c r="C592" s="720"/>
      <c r="D592" s="720"/>
      <c r="E592" s="720"/>
      <c r="F592" s="720"/>
      <c r="G592" s="906"/>
      <c r="H592" s="720"/>
      <c r="I592" s="720"/>
      <c r="J592" s="720"/>
      <c r="K592" s="907"/>
      <c r="L592" s="720"/>
      <c r="M592" s="720"/>
      <c r="N592" s="720"/>
      <c r="O592" s="720"/>
      <c r="P592" s="720"/>
      <c r="Q592" s="720"/>
      <c r="R592" s="720"/>
      <c r="S592" s="720"/>
      <c r="T592" s="720"/>
      <c r="U592" s="720"/>
      <c r="V592" s="720"/>
      <c r="W592" s="720"/>
      <c r="X592" s="720"/>
      <c r="Y592" s="720"/>
      <c r="Z592" s="720"/>
      <c r="AA592" s="720"/>
      <c r="AB592" s="720"/>
    </row>
    <row r="593" spans="1:28" ht="12.75" customHeight="1">
      <c r="A593" s="902"/>
      <c r="B593" s="903"/>
      <c r="C593" s="720"/>
      <c r="D593" s="720"/>
      <c r="E593" s="720"/>
      <c r="F593" s="720"/>
      <c r="G593" s="906"/>
      <c r="H593" s="720"/>
      <c r="I593" s="720"/>
      <c r="J593" s="720"/>
      <c r="K593" s="907"/>
      <c r="L593" s="720"/>
      <c r="M593" s="720"/>
      <c r="N593" s="720"/>
      <c r="O593" s="720"/>
      <c r="P593" s="720"/>
      <c r="Q593" s="720"/>
      <c r="R593" s="720"/>
      <c r="S593" s="720"/>
      <c r="T593" s="720"/>
      <c r="U593" s="720"/>
      <c r="V593" s="720"/>
      <c r="W593" s="720"/>
      <c r="X593" s="720"/>
      <c r="Y593" s="720"/>
      <c r="Z593" s="720"/>
      <c r="AA593" s="720"/>
      <c r="AB593" s="720"/>
    </row>
    <row r="594" spans="1:28" ht="12.75" customHeight="1">
      <c r="A594" s="902"/>
      <c r="B594" s="903"/>
      <c r="C594" s="720"/>
      <c r="D594" s="720"/>
      <c r="E594" s="720"/>
      <c r="F594" s="720"/>
      <c r="G594" s="906"/>
      <c r="H594" s="720"/>
      <c r="I594" s="720"/>
      <c r="J594" s="720"/>
      <c r="K594" s="907"/>
      <c r="L594" s="720"/>
      <c r="M594" s="720"/>
      <c r="N594" s="720"/>
      <c r="O594" s="720"/>
      <c r="P594" s="720"/>
      <c r="Q594" s="720"/>
      <c r="R594" s="720"/>
      <c r="S594" s="720"/>
      <c r="T594" s="720"/>
      <c r="U594" s="720"/>
      <c r="V594" s="720"/>
      <c r="W594" s="720"/>
      <c r="X594" s="720"/>
      <c r="Y594" s="720"/>
      <c r="Z594" s="720"/>
      <c r="AA594" s="720"/>
      <c r="AB594" s="720"/>
    </row>
    <row r="595" spans="1:28" ht="12.75" customHeight="1">
      <c r="A595" s="902"/>
      <c r="B595" s="903"/>
      <c r="C595" s="720"/>
      <c r="D595" s="720"/>
      <c r="E595" s="720"/>
      <c r="F595" s="720"/>
      <c r="G595" s="906"/>
      <c r="H595" s="720"/>
      <c r="I595" s="720"/>
      <c r="J595" s="720"/>
      <c r="K595" s="907"/>
      <c r="L595" s="720"/>
      <c r="M595" s="720"/>
      <c r="N595" s="720"/>
      <c r="O595" s="720"/>
      <c r="P595" s="720"/>
      <c r="Q595" s="720"/>
      <c r="R595" s="720"/>
      <c r="S595" s="720"/>
      <c r="T595" s="720"/>
      <c r="U595" s="720"/>
      <c r="V595" s="720"/>
      <c r="W595" s="720"/>
      <c r="X595" s="720"/>
      <c r="Y595" s="720"/>
      <c r="Z595" s="720"/>
      <c r="AA595" s="720"/>
      <c r="AB595" s="720"/>
    </row>
    <row r="596" spans="1:28" ht="12.75" customHeight="1">
      <c r="A596" s="902"/>
      <c r="B596" s="903"/>
      <c r="C596" s="720"/>
      <c r="D596" s="720"/>
      <c r="E596" s="720"/>
      <c r="F596" s="720"/>
      <c r="G596" s="906"/>
      <c r="H596" s="720"/>
      <c r="I596" s="720"/>
      <c r="J596" s="720"/>
      <c r="K596" s="907"/>
      <c r="L596" s="720"/>
      <c r="M596" s="720"/>
      <c r="N596" s="720"/>
      <c r="O596" s="720"/>
      <c r="P596" s="720"/>
      <c r="Q596" s="720"/>
      <c r="R596" s="720"/>
      <c r="S596" s="720"/>
      <c r="T596" s="720"/>
      <c r="U596" s="720"/>
      <c r="V596" s="720"/>
      <c r="W596" s="720"/>
      <c r="X596" s="720"/>
      <c r="Y596" s="720"/>
      <c r="Z596" s="720"/>
      <c r="AA596" s="720"/>
      <c r="AB596" s="720"/>
    </row>
    <row r="597" spans="1:28" ht="12.75" customHeight="1">
      <c r="A597" s="902"/>
      <c r="B597" s="903"/>
      <c r="C597" s="720"/>
      <c r="D597" s="720"/>
      <c r="E597" s="720"/>
      <c r="F597" s="720"/>
      <c r="G597" s="906"/>
      <c r="H597" s="720"/>
      <c r="I597" s="720"/>
      <c r="J597" s="720"/>
      <c r="K597" s="907"/>
      <c r="L597" s="720"/>
      <c r="M597" s="720"/>
      <c r="N597" s="720"/>
      <c r="O597" s="720"/>
      <c r="P597" s="720"/>
      <c r="Q597" s="720"/>
      <c r="R597" s="720"/>
      <c r="S597" s="720"/>
      <c r="T597" s="720"/>
      <c r="U597" s="720"/>
      <c r="V597" s="720"/>
      <c r="W597" s="720"/>
      <c r="X597" s="720"/>
      <c r="Y597" s="720"/>
      <c r="Z597" s="720"/>
      <c r="AA597" s="720"/>
      <c r="AB597" s="720"/>
    </row>
    <row r="598" spans="1:28" ht="12.75" customHeight="1">
      <c r="A598" s="902"/>
      <c r="B598" s="903"/>
      <c r="C598" s="720"/>
      <c r="D598" s="720"/>
      <c r="E598" s="720"/>
      <c r="F598" s="720"/>
      <c r="G598" s="906"/>
      <c r="H598" s="720"/>
      <c r="I598" s="720"/>
      <c r="J598" s="720"/>
      <c r="K598" s="907"/>
      <c r="L598" s="720"/>
      <c r="M598" s="720"/>
      <c r="N598" s="720"/>
      <c r="O598" s="720"/>
      <c r="P598" s="720"/>
      <c r="Q598" s="720"/>
      <c r="R598" s="720"/>
      <c r="S598" s="720"/>
      <c r="T598" s="720"/>
      <c r="U598" s="720"/>
      <c r="V598" s="720"/>
      <c r="W598" s="720"/>
      <c r="X598" s="720"/>
      <c r="Y598" s="720"/>
      <c r="Z598" s="720"/>
      <c r="AA598" s="720"/>
      <c r="AB598" s="720"/>
    </row>
    <row r="599" spans="1:28" ht="12.75" customHeight="1">
      <c r="A599" s="902"/>
      <c r="B599" s="903"/>
      <c r="C599" s="720"/>
      <c r="D599" s="720"/>
      <c r="E599" s="720"/>
      <c r="F599" s="720"/>
      <c r="G599" s="906"/>
      <c r="H599" s="720"/>
      <c r="I599" s="720"/>
      <c r="J599" s="720"/>
      <c r="K599" s="907"/>
      <c r="L599" s="720"/>
      <c r="M599" s="720"/>
      <c r="N599" s="720"/>
      <c r="O599" s="720"/>
      <c r="P599" s="720"/>
      <c r="Q599" s="720"/>
      <c r="R599" s="720"/>
      <c r="S599" s="720"/>
      <c r="T599" s="720"/>
      <c r="U599" s="720"/>
      <c r="V599" s="720"/>
      <c r="W599" s="720"/>
      <c r="X599" s="720"/>
      <c r="Y599" s="720"/>
      <c r="Z599" s="720"/>
      <c r="AA599" s="720"/>
      <c r="AB599" s="720"/>
    </row>
    <row r="600" spans="1:28" ht="12.75" customHeight="1">
      <c r="A600" s="902"/>
      <c r="B600" s="903"/>
      <c r="C600" s="720"/>
      <c r="D600" s="720"/>
      <c r="E600" s="720"/>
      <c r="F600" s="720"/>
      <c r="G600" s="906"/>
      <c r="H600" s="720"/>
      <c r="I600" s="720"/>
      <c r="J600" s="720"/>
      <c r="K600" s="907"/>
      <c r="L600" s="720"/>
      <c r="M600" s="720"/>
      <c r="N600" s="720"/>
      <c r="O600" s="720"/>
      <c r="P600" s="720"/>
      <c r="Q600" s="720"/>
      <c r="R600" s="720"/>
      <c r="S600" s="720"/>
      <c r="T600" s="720"/>
      <c r="U600" s="720"/>
      <c r="V600" s="720"/>
      <c r="W600" s="720"/>
      <c r="X600" s="720"/>
      <c r="Y600" s="720"/>
      <c r="Z600" s="720"/>
      <c r="AA600" s="720"/>
      <c r="AB600" s="720"/>
    </row>
    <row r="601" spans="1:28" ht="12.75" customHeight="1">
      <c r="A601" s="902"/>
      <c r="B601" s="903"/>
      <c r="C601" s="720"/>
      <c r="D601" s="720"/>
      <c r="E601" s="720"/>
      <c r="F601" s="720"/>
      <c r="G601" s="906"/>
      <c r="H601" s="720"/>
      <c r="I601" s="720"/>
      <c r="J601" s="720"/>
      <c r="K601" s="907"/>
      <c r="L601" s="720"/>
      <c r="M601" s="720"/>
      <c r="N601" s="720"/>
      <c r="O601" s="720"/>
      <c r="P601" s="720"/>
      <c r="Q601" s="720"/>
      <c r="R601" s="720"/>
      <c r="S601" s="720"/>
      <c r="T601" s="720"/>
      <c r="U601" s="720"/>
      <c r="V601" s="720"/>
      <c r="W601" s="720"/>
      <c r="X601" s="720"/>
      <c r="Y601" s="720"/>
      <c r="Z601" s="720"/>
      <c r="AA601" s="720"/>
      <c r="AB601" s="720"/>
    </row>
    <row r="602" spans="1:28" ht="12.75" customHeight="1">
      <c r="A602" s="902"/>
      <c r="B602" s="903"/>
      <c r="C602" s="720"/>
      <c r="D602" s="720"/>
      <c r="E602" s="720"/>
      <c r="F602" s="720"/>
      <c r="G602" s="906"/>
      <c r="H602" s="720"/>
      <c r="I602" s="720"/>
      <c r="J602" s="720"/>
      <c r="K602" s="907"/>
      <c r="L602" s="720"/>
      <c r="M602" s="720"/>
      <c r="N602" s="720"/>
      <c r="O602" s="720"/>
      <c r="P602" s="720"/>
      <c r="Q602" s="720"/>
      <c r="R602" s="720"/>
      <c r="S602" s="720"/>
      <c r="T602" s="720"/>
      <c r="U602" s="720"/>
      <c r="V602" s="720"/>
      <c r="W602" s="720"/>
      <c r="X602" s="720"/>
      <c r="Y602" s="720"/>
      <c r="Z602" s="720"/>
      <c r="AA602" s="720"/>
      <c r="AB602" s="720"/>
    </row>
    <row r="603" spans="1:28" ht="12.75" customHeight="1">
      <c r="A603" s="902"/>
      <c r="B603" s="903"/>
      <c r="C603" s="720"/>
      <c r="D603" s="720"/>
      <c r="E603" s="720"/>
      <c r="F603" s="720"/>
      <c r="G603" s="906"/>
      <c r="H603" s="720"/>
      <c r="I603" s="720"/>
      <c r="J603" s="720"/>
      <c r="K603" s="907"/>
      <c r="L603" s="720"/>
      <c r="M603" s="720"/>
      <c r="N603" s="720"/>
      <c r="O603" s="720"/>
      <c r="P603" s="720"/>
      <c r="Q603" s="720"/>
      <c r="R603" s="720"/>
      <c r="S603" s="720"/>
      <c r="T603" s="720"/>
      <c r="U603" s="720"/>
      <c r="V603" s="720"/>
      <c r="W603" s="720"/>
      <c r="X603" s="720"/>
      <c r="Y603" s="720"/>
      <c r="Z603" s="720"/>
      <c r="AA603" s="720"/>
      <c r="AB603" s="720"/>
    </row>
    <row r="604" spans="1:28" ht="12.75" customHeight="1">
      <c r="A604" s="902"/>
      <c r="B604" s="903"/>
      <c r="C604" s="720"/>
      <c r="D604" s="720"/>
      <c r="E604" s="720"/>
      <c r="F604" s="720"/>
      <c r="G604" s="906"/>
      <c r="H604" s="720"/>
      <c r="I604" s="720"/>
      <c r="J604" s="720"/>
      <c r="K604" s="907"/>
      <c r="L604" s="720"/>
      <c r="M604" s="720"/>
      <c r="N604" s="720"/>
      <c r="O604" s="720"/>
      <c r="P604" s="720"/>
      <c r="Q604" s="720"/>
      <c r="R604" s="720"/>
      <c r="S604" s="720"/>
      <c r="T604" s="720"/>
      <c r="U604" s="720"/>
      <c r="V604" s="720"/>
      <c r="W604" s="720"/>
      <c r="X604" s="720"/>
      <c r="Y604" s="720"/>
      <c r="Z604" s="720"/>
      <c r="AA604" s="720"/>
      <c r="AB604" s="720"/>
    </row>
    <row r="605" spans="1:28" ht="12.75" customHeight="1">
      <c r="A605" s="902"/>
      <c r="B605" s="903"/>
      <c r="C605" s="720"/>
      <c r="D605" s="720"/>
      <c r="E605" s="720"/>
      <c r="F605" s="720"/>
      <c r="G605" s="906"/>
      <c r="H605" s="720"/>
      <c r="I605" s="720"/>
      <c r="J605" s="720"/>
      <c r="K605" s="907"/>
      <c r="L605" s="720"/>
      <c r="M605" s="720"/>
      <c r="N605" s="720"/>
      <c r="O605" s="720"/>
      <c r="P605" s="720"/>
      <c r="Q605" s="720"/>
      <c r="R605" s="720"/>
      <c r="S605" s="720"/>
      <c r="T605" s="720"/>
      <c r="U605" s="720"/>
      <c r="V605" s="720"/>
      <c r="W605" s="720"/>
      <c r="X605" s="720"/>
      <c r="Y605" s="720"/>
      <c r="Z605" s="720"/>
      <c r="AA605" s="720"/>
      <c r="AB605" s="720"/>
    </row>
    <row r="606" spans="1:28" ht="12.75" customHeight="1">
      <c r="A606" s="902"/>
      <c r="B606" s="903"/>
      <c r="C606" s="720"/>
      <c r="D606" s="720"/>
      <c r="E606" s="720"/>
      <c r="F606" s="720"/>
      <c r="G606" s="906"/>
      <c r="H606" s="720"/>
      <c r="I606" s="720"/>
      <c r="J606" s="720"/>
      <c r="K606" s="907"/>
      <c r="L606" s="720"/>
      <c r="M606" s="720"/>
      <c r="N606" s="720"/>
      <c r="O606" s="720"/>
      <c r="P606" s="720"/>
      <c r="Q606" s="720"/>
      <c r="R606" s="720"/>
      <c r="S606" s="720"/>
      <c r="T606" s="720"/>
      <c r="U606" s="720"/>
      <c r="V606" s="720"/>
      <c r="W606" s="720"/>
      <c r="X606" s="720"/>
      <c r="Y606" s="720"/>
      <c r="Z606" s="720"/>
      <c r="AA606" s="720"/>
      <c r="AB606" s="720"/>
    </row>
    <row r="607" spans="1:28" ht="12.75" customHeight="1">
      <c r="A607" s="902"/>
      <c r="B607" s="903"/>
      <c r="C607" s="720"/>
      <c r="D607" s="720"/>
      <c r="E607" s="720"/>
      <c r="F607" s="720"/>
      <c r="G607" s="906"/>
      <c r="H607" s="720"/>
      <c r="I607" s="720"/>
      <c r="J607" s="720"/>
      <c r="K607" s="907"/>
      <c r="L607" s="720"/>
      <c r="M607" s="720"/>
      <c r="N607" s="720"/>
      <c r="O607" s="720"/>
      <c r="P607" s="720"/>
      <c r="Q607" s="720"/>
      <c r="R607" s="720"/>
      <c r="S607" s="720"/>
      <c r="T607" s="720"/>
      <c r="U607" s="720"/>
      <c r="V607" s="720"/>
      <c r="W607" s="720"/>
      <c r="X607" s="720"/>
      <c r="Y607" s="720"/>
      <c r="Z607" s="720"/>
      <c r="AA607" s="720"/>
      <c r="AB607" s="720"/>
    </row>
    <row r="608" spans="1:28" ht="12.75" customHeight="1">
      <c r="A608" s="902"/>
      <c r="B608" s="903"/>
      <c r="C608" s="720"/>
      <c r="D608" s="720"/>
      <c r="E608" s="720"/>
      <c r="F608" s="720"/>
      <c r="G608" s="906"/>
      <c r="H608" s="720"/>
      <c r="I608" s="720"/>
      <c r="J608" s="720"/>
      <c r="K608" s="907"/>
      <c r="L608" s="720"/>
      <c r="M608" s="720"/>
      <c r="N608" s="720"/>
      <c r="O608" s="720"/>
      <c r="P608" s="720"/>
      <c r="Q608" s="720"/>
      <c r="R608" s="720"/>
      <c r="S608" s="720"/>
      <c r="T608" s="720"/>
      <c r="U608" s="720"/>
      <c r="V608" s="720"/>
      <c r="W608" s="720"/>
      <c r="X608" s="720"/>
      <c r="Y608" s="720"/>
      <c r="Z608" s="720"/>
      <c r="AA608" s="720"/>
      <c r="AB608" s="720"/>
    </row>
    <row r="609" spans="1:28" ht="12.75" customHeight="1">
      <c r="A609" s="902"/>
      <c r="B609" s="903"/>
      <c r="C609" s="720"/>
      <c r="D609" s="720"/>
      <c r="E609" s="720"/>
      <c r="F609" s="720"/>
      <c r="G609" s="906"/>
      <c r="H609" s="720"/>
      <c r="I609" s="720"/>
      <c r="J609" s="720"/>
      <c r="K609" s="907"/>
      <c r="L609" s="720"/>
      <c r="M609" s="720"/>
      <c r="N609" s="720"/>
      <c r="O609" s="720"/>
      <c r="P609" s="720"/>
      <c r="Q609" s="720"/>
      <c r="R609" s="720"/>
      <c r="S609" s="720"/>
      <c r="T609" s="720"/>
      <c r="U609" s="720"/>
      <c r="V609" s="720"/>
      <c r="W609" s="720"/>
      <c r="X609" s="720"/>
      <c r="Y609" s="720"/>
      <c r="Z609" s="720"/>
      <c r="AA609" s="720"/>
      <c r="AB609" s="720"/>
    </row>
    <row r="610" spans="1:28" ht="12.75" customHeight="1">
      <c r="A610" s="902"/>
      <c r="B610" s="903"/>
      <c r="C610" s="720"/>
      <c r="D610" s="720"/>
      <c r="E610" s="720"/>
      <c r="F610" s="720"/>
      <c r="G610" s="906"/>
      <c r="H610" s="720"/>
      <c r="I610" s="720"/>
      <c r="J610" s="720"/>
      <c r="K610" s="907"/>
      <c r="L610" s="720"/>
      <c r="M610" s="720"/>
      <c r="N610" s="720"/>
      <c r="O610" s="720"/>
      <c r="P610" s="720"/>
      <c r="Q610" s="720"/>
      <c r="R610" s="720"/>
      <c r="S610" s="720"/>
      <c r="T610" s="720"/>
      <c r="U610" s="720"/>
      <c r="V610" s="720"/>
      <c r="W610" s="720"/>
      <c r="X610" s="720"/>
      <c r="Y610" s="720"/>
      <c r="Z610" s="720"/>
      <c r="AA610" s="720"/>
      <c r="AB610" s="720"/>
    </row>
    <row r="611" spans="1:28" ht="12.75" customHeight="1">
      <c r="A611" s="902"/>
      <c r="B611" s="903"/>
      <c r="C611" s="720"/>
      <c r="D611" s="720"/>
      <c r="E611" s="720"/>
      <c r="F611" s="720"/>
      <c r="G611" s="906"/>
      <c r="H611" s="720"/>
      <c r="I611" s="720"/>
      <c r="J611" s="720"/>
      <c r="K611" s="907"/>
      <c r="L611" s="720"/>
      <c r="M611" s="720"/>
      <c r="N611" s="720"/>
      <c r="O611" s="720"/>
      <c r="P611" s="720"/>
      <c r="Q611" s="720"/>
      <c r="R611" s="720"/>
      <c r="S611" s="720"/>
      <c r="T611" s="720"/>
      <c r="U611" s="720"/>
      <c r="V611" s="720"/>
      <c r="W611" s="720"/>
      <c r="X611" s="720"/>
      <c r="Y611" s="720"/>
      <c r="Z611" s="720"/>
      <c r="AA611" s="720"/>
      <c r="AB611" s="720"/>
    </row>
    <row r="612" spans="1:28" ht="12.75" customHeight="1">
      <c r="A612" s="902"/>
      <c r="B612" s="903"/>
      <c r="C612" s="720"/>
      <c r="D612" s="720"/>
      <c r="E612" s="720"/>
      <c r="F612" s="720"/>
      <c r="G612" s="906"/>
      <c r="H612" s="720"/>
      <c r="I612" s="720"/>
      <c r="J612" s="720"/>
      <c r="K612" s="907"/>
      <c r="L612" s="720"/>
      <c r="M612" s="720"/>
      <c r="N612" s="720"/>
      <c r="O612" s="720"/>
      <c r="P612" s="720"/>
      <c r="Q612" s="720"/>
      <c r="R612" s="720"/>
      <c r="S612" s="720"/>
      <c r="T612" s="720"/>
      <c r="U612" s="720"/>
      <c r="V612" s="720"/>
      <c r="W612" s="720"/>
      <c r="X612" s="720"/>
      <c r="Y612" s="720"/>
      <c r="Z612" s="720"/>
      <c r="AA612" s="720"/>
      <c r="AB612" s="720"/>
    </row>
    <row r="613" spans="1:28" ht="12.75" customHeight="1">
      <c r="A613" s="902"/>
      <c r="B613" s="903"/>
      <c r="C613" s="720"/>
      <c r="D613" s="720"/>
      <c r="E613" s="720"/>
      <c r="F613" s="720"/>
      <c r="G613" s="906"/>
      <c r="H613" s="720"/>
      <c r="I613" s="720"/>
      <c r="J613" s="720"/>
      <c r="K613" s="907"/>
      <c r="L613" s="720"/>
      <c r="M613" s="720"/>
      <c r="N613" s="720"/>
      <c r="O613" s="720"/>
      <c r="P613" s="720"/>
      <c r="Q613" s="720"/>
      <c r="R613" s="720"/>
      <c r="S613" s="720"/>
      <c r="T613" s="720"/>
      <c r="U613" s="720"/>
      <c r="V613" s="720"/>
      <c r="W613" s="720"/>
      <c r="X613" s="720"/>
      <c r="Y613" s="720"/>
      <c r="Z613" s="720"/>
      <c r="AA613" s="720"/>
      <c r="AB613" s="720"/>
    </row>
    <row r="614" spans="1:28" ht="12.75" customHeight="1">
      <c r="A614" s="902"/>
      <c r="B614" s="903"/>
      <c r="C614" s="720"/>
      <c r="D614" s="720"/>
      <c r="E614" s="720"/>
      <c r="F614" s="720"/>
      <c r="G614" s="906"/>
      <c r="H614" s="720"/>
      <c r="I614" s="720"/>
      <c r="J614" s="720"/>
      <c r="K614" s="907"/>
      <c r="L614" s="720"/>
      <c r="M614" s="720"/>
      <c r="N614" s="720"/>
      <c r="O614" s="720"/>
      <c r="P614" s="720"/>
      <c r="Q614" s="720"/>
      <c r="R614" s="720"/>
      <c r="S614" s="720"/>
      <c r="T614" s="720"/>
      <c r="U614" s="720"/>
      <c r="V614" s="720"/>
      <c r="W614" s="720"/>
      <c r="X614" s="720"/>
      <c r="Y614" s="720"/>
      <c r="Z614" s="720"/>
      <c r="AA614" s="720"/>
      <c r="AB614" s="720"/>
    </row>
    <row r="615" spans="1:28" ht="12.75" customHeight="1">
      <c r="A615" s="902"/>
      <c r="B615" s="903"/>
      <c r="C615" s="720"/>
      <c r="D615" s="720"/>
      <c r="E615" s="720"/>
      <c r="F615" s="720"/>
      <c r="G615" s="906"/>
      <c r="H615" s="720"/>
      <c r="I615" s="720"/>
      <c r="J615" s="720"/>
      <c r="K615" s="907"/>
      <c r="L615" s="720"/>
      <c r="M615" s="720"/>
      <c r="N615" s="720"/>
      <c r="O615" s="720"/>
      <c r="P615" s="720"/>
      <c r="Q615" s="720"/>
      <c r="R615" s="720"/>
      <c r="S615" s="720"/>
      <c r="T615" s="720"/>
      <c r="U615" s="720"/>
      <c r="V615" s="720"/>
      <c r="W615" s="720"/>
      <c r="X615" s="720"/>
      <c r="Y615" s="720"/>
      <c r="Z615" s="720"/>
      <c r="AA615" s="720"/>
      <c r="AB615" s="720"/>
    </row>
    <row r="616" spans="1:28" ht="12.75" customHeight="1">
      <c r="A616" s="902"/>
      <c r="B616" s="903"/>
      <c r="C616" s="720"/>
      <c r="D616" s="720"/>
      <c r="E616" s="720"/>
      <c r="F616" s="720"/>
      <c r="G616" s="906"/>
      <c r="H616" s="720"/>
      <c r="I616" s="720"/>
      <c r="J616" s="720"/>
      <c r="K616" s="907"/>
      <c r="L616" s="720"/>
      <c r="M616" s="720"/>
      <c r="N616" s="720"/>
      <c r="O616" s="720"/>
      <c r="P616" s="720"/>
      <c r="Q616" s="720"/>
      <c r="R616" s="720"/>
      <c r="S616" s="720"/>
      <c r="T616" s="720"/>
      <c r="U616" s="720"/>
      <c r="V616" s="720"/>
      <c r="W616" s="720"/>
      <c r="X616" s="720"/>
      <c r="Y616" s="720"/>
      <c r="Z616" s="720"/>
      <c r="AA616" s="720"/>
      <c r="AB616" s="720"/>
    </row>
    <row r="617" spans="1:28" ht="12.75" customHeight="1">
      <c r="A617" s="902"/>
      <c r="B617" s="903"/>
      <c r="C617" s="720"/>
      <c r="D617" s="720"/>
      <c r="E617" s="720"/>
      <c r="F617" s="720"/>
      <c r="G617" s="906"/>
      <c r="H617" s="720"/>
      <c r="I617" s="720"/>
      <c r="J617" s="720"/>
      <c r="K617" s="907"/>
      <c r="L617" s="720"/>
      <c r="M617" s="720"/>
      <c r="N617" s="720"/>
      <c r="O617" s="720"/>
      <c r="P617" s="720"/>
      <c r="Q617" s="720"/>
      <c r="R617" s="720"/>
      <c r="S617" s="720"/>
      <c r="T617" s="720"/>
      <c r="U617" s="720"/>
      <c r="V617" s="720"/>
      <c r="W617" s="720"/>
      <c r="X617" s="720"/>
      <c r="Y617" s="720"/>
      <c r="Z617" s="720"/>
      <c r="AA617" s="720"/>
      <c r="AB617" s="720"/>
    </row>
    <row r="618" spans="1:28" ht="12.75" customHeight="1">
      <c r="A618" s="902"/>
      <c r="B618" s="903"/>
      <c r="C618" s="720"/>
      <c r="D618" s="720"/>
      <c r="E618" s="720"/>
      <c r="F618" s="720"/>
      <c r="G618" s="906"/>
      <c r="H618" s="720"/>
      <c r="I618" s="720"/>
      <c r="J618" s="720"/>
      <c r="K618" s="907"/>
      <c r="L618" s="720"/>
      <c r="M618" s="720"/>
      <c r="N618" s="720"/>
      <c r="O618" s="720"/>
      <c r="P618" s="720"/>
      <c r="Q618" s="720"/>
      <c r="R618" s="720"/>
      <c r="S618" s="720"/>
      <c r="T618" s="720"/>
      <c r="U618" s="720"/>
      <c r="V618" s="720"/>
      <c r="W618" s="720"/>
      <c r="X618" s="720"/>
      <c r="Y618" s="720"/>
      <c r="Z618" s="720"/>
      <c r="AA618" s="720"/>
      <c r="AB618" s="720"/>
    </row>
    <row r="619" spans="1:28" ht="12.75" customHeight="1">
      <c r="A619" s="902"/>
      <c r="B619" s="903"/>
      <c r="C619" s="720"/>
      <c r="D619" s="720"/>
      <c r="E619" s="720"/>
      <c r="F619" s="720"/>
      <c r="G619" s="906"/>
      <c r="H619" s="720"/>
      <c r="I619" s="720"/>
      <c r="J619" s="720"/>
      <c r="K619" s="907"/>
      <c r="L619" s="720"/>
      <c r="M619" s="720"/>
      <c r="N619" s="720"/>
      <c r="O619" s="720"/>
      <c r="P619" s="720"/>
      <c r="Q619" s="720"/>
      <c r="R619" s="720"/>
      <c r="S619" s="720"/>
      <c r="T619" s="720"/>
      <c r="U619" s="720"/>
      <c r="V619" s="720"/>
      <c r="W619" s="720"/>
      <c r="X619" s="720"/>
      <c r="Y619" s="720"/>
      <c r="Z619" s="720"/>
      <c r="AA619" s="720"/>
      <c r="AB619" s="720"/>
    </row>
    <row r="620" spans="1:28" ht="12.75" customHeight="1">
      <c r="A620" s="902"/>
      <c r="B620" s="903"/>
      <c r="C620" s="720"/>
      <c r="D620" s="720"/>
      <c r="E620" s="720"/>
      <c r="F620" s="720"/>
      <c r="G620" s="906"/>
      <c r="H620" s="720"/>
      <c r="I620" s="720"/>
      <c r="J620" s="720"/>
      <c r="K620" s="907"/>
      <c r="L620" s="720"/>
      <c r="M620" s="720"/>
      <c r="N620" s="720"/>
      <c r="O620" s="720"/>
      <c r="P620" s="720"/>
      <c r="Q620" s="720"/>
      <c r="R620" s="720"/>
      <c r="S620" s="720"/>
      <c r="T620" s="720"/>
      <c r="U620" s="720"/>
      <c r="V620" s="720"/>
      <c r="W620" s="720"/>
      <c r="X620" s="720"/>
      <c r="Y620" s="720"/>
      <c r="Z620" s="720"/>
      <c r="AA620" s="720"/>
      <c r="AB620" s="720"/>
    </row>
    <row r="621" spans="1:28" ht="12.75" customHeight="1">
      <c r="A621" s="902"/>
      <c r="B621" s="903"/>
      <c r="C621" s="720"/>
      <c r="D621" s="720"/>
      <c r="E621" s="720"/>
      <c r="F621" s="720"/>
      <c r="G621" s="906"/>
      <c r="H621" s="720"/>
      <c r="I621" s="720"/>
      <c r="J621" s="720"/>
      <c r="K621" s="907"/>
      <c r="L621" s="720"/>
      <c r="M621" s="720"/>
      <c r="N621" s="720"/>
      <c r="O621" s="720"/>
      <c r="P621" s="720"/>
      <c r="Q621" s="720"/>
      <c r="R621" s="720"/>
      <c r="S621" s="720"/>
      <c r="T621" s="720"/>
      <c r="U621" s="720"/>
      <c r="V621" s="720"/>
      <c r="W621" s="720"/>
      <c r="X621" s="720"/>
      <c r="Y621" s="720"/>
      <c r="Z621" s="720"/>
      <c r="AA621" s="720"/>
      <c r="AB621" s="720"/>
    </row>
    <row r="622" spans="1:28" ht="12.75" customHeight="1">
      <c r="A622" s="902"/>
      <c r="B622" s="903"/>
      <c r="C622" s="720"/>
      <c r="D622" s="720"/>
      <c r="E622" s="720"/>
      <c r="F622" s="720"/>
      <c r="G622" s="906"/>
      <c r="H622" s="720"/>
      <c r="I622" s="720"/>
      <c r="J622" s="720"/>
      <c r="K622" s="907"/>
      <c r="L622" s="720"/>
      <c r="M622" s="720"/>
      <c r="N622" s="720"/>
      <c r="O622" s="720"/>
      <c r="P622" s="720"/>
      <c r="Q622" s="720"/>
      <c r="R622" s="720"/>
      <c r="S622" s="720"/>
      <c r="T622" s="720"/>
      <c r="U622" s="720"/>
      <c r="V622" s="720"/>
      <c r="W622" s="720"/>
      <c r="X622" s="720"/>
      <c r="Y622" s="720"/>
      <c r="Z622" s="720"/>
      <c r="AA622" s="720"/>
      <c r="AB622" s="720"/>
    </row>
    <row r="623" spans="1:28" ht="12.75" customHeight="1">
      <c r="A623" s="902"/>
      <c r="B623" s="903"/>
      <c r="C623" s="720"/>
      <c r="D623" s="720"/>
      <c r="E623" s="720"/>
      <c r="F623" s="720"/>
      <c r="G623" s="906"/>
      <c r="H623" s="720"/>
      <c r="I623" s="720"/>
      <c r="J623" s="720"/>
      <c r="K623" s="907"/>
      <c r="L623" s="720"/>
      <c r="M623" s="720"/>
      <c r="N623" s="720"/>
      <c r="O623" s="720"/>
      <c r="P623" s="720"/>
      <c r="Q623" s="720"/>
      <c r="R623" s="720"/>
      <c r="S623" s="720"/>
      <c r="T623" s="720"/>
      <c r="U623" s="720"/>
      <c r="V623" s="720"/>
      <c r="W623" s="720"/>
      <c r="X623" s="720"/>
      <c r="Y623" s="720"/>
      <c r="Z623" s="720"/>
      <c r="AA623" s="720"/>
      <c r="AB623" s="720"/>
    </row>
    <row r="624" spans="1:28" ht="12.75" customHeight="1">
      <c r="A624" s="902"/>
      <c r="B624" s="903"/>
      <c r="C624" s="720"/>
      <c r="D624" s="720"/>
      <c r="E624" s="720"/>
      <c r="F624" s="720"/>
      <c r="G624" s="906"/>
      <c r="H624" s="720"/>
      <c r="I624" s="720"/>
      <c r="J624" s="720"/>
      <c r="K624" s="907"/>
      <c r="L624" s="720"/>
      <c r="M624" s="720"/>
      <c r="N624" s="720"/>
      <c r="O624" s="720"/>
      <c r="P624" s="720"/>
      <c r="Q624" s="720"/>
      <c r="R624" s="720"/>
      <c r="S624" s="720"/>
      <c r="T624" s="720"/>
      <c r="U624" s="720"/>
      <c r="V624" s="720"/>
      <c r="W624" s="720"/>
      <c r="X624" s="720"/>
      <c r="Y624" s="720"/>
      <c r="Z624" s="720"/>
      <c r="AA624" s="720"/>
      <c r="AB624" s="720"/>
    </row>
    <row r="625" spans="1:28" ht="12.75" customHeight="1">
      <c r="A625" s="902"/>
      <c r="B625" s="903"/>
      <c r="C625" s="720"/>
      <c r="D625" s="720"/>
      <c r="E625" s="720"/>
      <c r="F625" s="720"/>
      <c r="G625" s="906"/>
      <c r="H625" s="720"/>
      <c r="I625" s="720"/>
      <c r="J625" s="720"/>
      <c r="K625" s="907"/>
      <c r="L625" s="720"/>
      <c r="M625" s="720"/>
      <c r="N625" s="720"/>
      <c r="O625" s="720"/>
      <c r="P625" s="720"/>
      <c r="Q625" s="720"/>
      <c r="R625" s="720"/>
      <c r="S625" s="720"/>
      <c r="T625" s="720"/>
      <c r="U625" s="720"/>
      <c r="V625" s="720"/>
      <c r="W625" s="720"/>
      <c r="X625" s="720"/>
      <c r="Y625" s="720"/>
      <c r="Z625" s="720"/>
      <c r="AA625" s="720"/>
      <c r="AB625" s="720"/>
    </row>
    <row r="626" spans="1:28" ht="12.75" customHeight="1">
      <c r="A626" s="902"/>
      <c r="B626" s="903"/>
      <c r="C626" s="720"/>
      <c r="D626" s="720"/>
      <c r="E626" s="720"/>
      <c r="F626" s="720"/>
      <c r="G626" s="906"/>
      <c r="H626" s="720"/>
      <c r="I626" s="720"/>
      <c r="J626" s="720"/>
      <c r="K626" s="907"/>
      <c r="L626" s="720"/>
      <c r="M626" s="720"/>
      <c r="N626" s="720"/>
      <c r="O626" s="720"/>
      <c r="P626" s="720"/>
      <c r="Q626" s="720"/>
      <c r="R626" s="720"/>
      <c r="S626" s="720"/>
      <c r="T626" s="720"/>
      <c r="U626" s="720"/>
      <c r="V626" s="720"/>
      <c r="W626" s="720"/>
      <c r="X626" s="720"/>
      <c r="Y626" s="720"/>
      <c r="Z626" s="720"/>
      <c r="AA626" s="720"/>
      <c r="AB626" s="720"/>
    </row>
    <row r="627" spans="1:28" ht="12.75" customHeight="1">
      <c r="A627" s="902"/>
      <c r="B627" s="903"/>
      <c r="C627" s="720"/>
      <c r="D627" s="720"/>
      <c r="E627" s="720"/>
      <c r="F627" s="720"/>
      <c r="G627" s="906"/>
      <c r="H627" s="720"/>
      <c r="I627" s="720"/>
      <c r="J627" s="720"/>
      <c r="K627" s="907"/>
      <c r="L627" s="720"/>
      <c r="M627" s="720"/>
      <c r="N627" s="720"/>
      <c r="O627" s="720"/>
      <c r="P627" s="720"/>
      <c r="Q627" s="720"/>
      <c r="R627" s="720"/>
      <c r="S627" s="720"/>
      <c r="T627" s="720"/>
      <c r="U627" s="720"/>
      <c r="V627" s="720"/>
      <c r="W627" s="720"/>
      <c r="X627" s="720"/>
      <c r="Y627" s="720"/>
      <c r="Z627" s="720"/>
      <c r="AA627" s="720"/>
      <c r="AB627" s="720"/>
    </row>
    <row r="628" spans="1:28" ht="12.75" customHeight="1">
      <c r="A628" s="902"/>
      <c r="B628" s="903"/>
      <c r="C628" s="720"/>
      <c r="D628" s="720"/>
      <c r="E628" s="720"/>
      <c r="F628" s="720"/>
      <c r="G628" s="906"/>
      <c r="H628" s="720"/>
      <c r="I628" s="720"/>
      <c r="J628" s="720"/>
      <c r="K628" s="907"/>
      <c r="L628" s="720"/>
      <c r="M628" s="720"/>
      <c r="N628" s="720"/>
      <c r="O628" s="720"/>
      <c r="P628" s="720"/>
      <c r="Q628" s="720"/>
      <c r="R628" s="720"/>
      <c r="S628" s="720"/>
      <c r="T628" s="720"/>
      <c r="U628" s="720"/>
      <c r="V628" s="720"/>
      <c r="W628" s="720"/>
      <c r="X628" s="720"/>
      <c r="Y628" s="720"/>
      <c r="Z628" s="720"/>
      <c r="AA628" s="720"/>
      <c r="AB628" s="720"/>
    </row>
    <row r="629" spans="1:28" ht="12.75" customHeight="1">
      <c r="A629" s="902"/>
      <c r="B629" s="903"/>
      <c r="C629" s="720"/>
      <c r="D629" s="720"/>
      <c r="E629" s="720"/>
      <c r="F629" s="720"/>
      <c r="G629" s="906"/>
      <c r="H629" s="720"/>
      <c r="I629" s="720"/>
      <c r="J629" s="720"/>
      <c r="K629" s="907"/>
      <c r="L629" s="720"/>
      <c r="M629" s="720"/>
      <c r="N629" s="720"/>
      <c r="O629" s="720"/>
      <c r="P629" s="720"/>
      <c r="Q629" s="720"/>
      <c r="R629" s="720"/>
      <c r="S629" s="720"/>
      <c r="T629" s="720"/>
      <c r="U629" s="720"/>
      <c r="V629" s="720"/>
      <c r="W629" s="720"/>
      <c r="X629" s="720"/>
      <c r="Y629" s="720"/>
      <c r="Z629" s="720"/>
      <c r="AA629" s="720"/>
      <c r="AB629" s="720"/>
    </row>
    <row r="630" spans="1:28" ht="12.75" customHeight="1">
      <c r="A630" s="902"/>
      <c r="B630" s="903"/>
      <c r="C630" s="720"/>
      <c r="D630" s="720"/>
      <c r="E630" s="720"/>
      <c r="F630" s="720"/>
      <c r="G630" s="906"/>
      <c r="H630" s="720"/>
      <c r="I630" s="720"/>
      <c r="J630" s="720"/>
      <c r="K630" s="907"/>
      <c r="L630" s="720"/>
      <c r="M630" s="720"/>
      <c r="N630" s="720"/>
      <c r="O630" s="720"/>
      <c r="P630" s="720"/>
      <c r="Q630" s="720"/>
      <c r="R630" s="720"/>
      <c r="S630" s="720"/>
      <c r="T630" s="720"/>
      <c r="U630" s="720"/>
      <c r="V630" s="720"/>
      <c r="W630" s="720"/>
      <c r="X630" s="720"/>
      <c r="Y630" s="720"/>
      <c r="Z630" s="720"/>
      <c r="AA630" s="720"/>
      <c r="AB630" s="720"/>
    </row>
    <row r="631" spans="1:28" ht="12.75" customHeight="1">
      <c r="A631" s="902"/>
      <c r="B631" s="903"/>
      <c r="C631" s="720"/>
      <c r="D631" s="720"/>
      <c r="E631" s="720"/>
      <c r="F631" s="720"/>
      <c r="G631" s="906"/>
      <c r="H631" s="720"/>
      <c r="I631" s="720"/>
      <c r="J631" s="720"/>
      <c r="K631" s="907"/>
      <c r="L631" s="720"/>
      <c r="M631" s="720"/>
      <c r="N631" s="720"/>
      <c r="O631" s="720"/>
      <c r="P631" s="720"/>
      <c r="Q631" s="720"/>
      <c r="R631" s="720"/>
      <c r="S631" s="720"/>
      <c r="T631" s="720"/>
      <c r="U631" s="720"/>
      <c r="V631" s="720"/>
      <c r="W631" s="720"/>
      <c r="X631" s="720"/>
      <c r="Y631" s="720"/>
      <c r="Z631" s="720"/>
      <c r="AA631" s="720"/>
      <c r="AB631" s="720"/>
    </row>
    <row r="632" spans="1:28" ht="12.75" customHeight="1">
      <c r="A632" s="902"/>
      <c r="B632" s="903"/>
      <c r="C632" s="720"/>
      <c r="D632" s="720"/>
      <c r="E632" s="720"/>
      <c r="F632" s="720"/>
      <c r="G632" s="906"/>
      <c r="H632" s="720"/>
      <c r="I632" s="720"/>
      <c r="J632" s="720"/>
      <c r="K632" s="907"/>
      <c r="L632" s="720"/>
      <c r="M632" s="720"/>
      <c r="N632" s="720"/>
      <c r="O632" s="720"/>
      <c r="P632" s="720"/>
      <c r="Q632" s="720"/>
      <c r="R632" s="720"/>
      <c r="S632" s="720"/>
      <c r="T632" s="720"/>
      <c r="U632" s="720"/>
      <c r="V632" s="720"/>
      <c r="W632" s="720"/>
      <c r="X632" s="720"/>
      <c r="Y632" s="720"/>
      <c r="Z632" s="720"/>
      <c r="AA632" s="720"/>
      <c r="AB632" s="720"/>
    </row>
    <row r="633" spans="1:28" ht="12.75" customHeight="1">
      <c r="A633" s="902"/>
      <c r="B633" s="903"/>
      <c r="C633" s="720"/>
      <c r="D633" s="720"/>
      <c r="E633" s="720"/>
      <c r="F633" s="720"/>
      <c r="G633" s="906"/>
      <c r="H633" s="720"/>
      <c r="I633" s="720"/>
      <c r="J633" s="720"/>
      <c r="K633" s="907"/>
      <c r="L633" s="720"/>
      <c r="M633" s="720"/>
      <c r="N633" s="720"/>
      <c r="O633" s="720"/>
      <c r="P633" s="720"/>
      <c r="Q633" s="720"/>
      <c r="R633" s="720"/>
      <c r="S633" s="720"/>
      <c r="T633" s="720"/>
      <c r="U633" s="720"/>
      <c r="V633" s="720"/>
      <c r="W633" s="720"/>
      <c r="X633" s="720"/>
      <c r="Y633" s="720"/>
      <c r="Z633" s="720"/>
      <c r="AA633" s="720"/>
      <c r="AB633" s="720"/>
    </row>
    <row r="634" spans="1:28" ht="12.75" customHeight="1">
      <c r="A634" s="902"/>
      <c r="B634" s="903"/>
      <c r="C634" s="720"/>
      <c r="D634" s="720"/>
      <c r="E634" s="720"/>
      <c r="F634" s="720"/>
      <c r="G634" s="906"/>
      <c r="H634" s="720"/>
      <c r="I634" s="720"/>
      <c r="J634" s="720"/>
      <c r="K634" s="907"/>
      <c r="L634" s="720"/>
      <c r="M634" s="720"/>
      <c r="N634" s="720"/>
      <c r="O634" s="720"/>
      <c r="P634" s="720"/>
      <c r="Q634" s="720"/>
      <c r="R634" s="720"/>
      <c r="S634" s="720"/>
      <c r="T634" s="720"/>
      <c r="U634" s="720"/>
      <c r="V634" s="720"/>
      <c r="W634" s="720"/>
      <c r="X634" s="720"/>
      <c r="Y634" s="720"/>
      <c r="Z634" s="720"/>
      <c r="AA634" s="720"/>
      <c r="AB634" s="720"/>
    </row>
    <row r="635" spans="1:28" ht="12.75" customHeight="1">
      <c r="A635" s="902"/>
      <c r="B635" s="903"/>
      <c r="C635" s="720"/>
      <c r="D635" s="720"/>
      <c r="E635" s="720"/>
      <c r="F635" s="720"/>
      <c r="G635" s="906"/>
      <c r="H635" s="720"/>
      <c r="I635" s="720"/>
      <c r="J635" s="720"/>
      <c r="K635" s="907"/>
      <c r="L635" s="720"/>
      <c r="M635" s="720"/>
      <c r="N635" s="720"/>
      <c r="O635" s="720"/>
      <c r="P635" s="720"/>
      <c r="Q635" s="720"/>
      <c r="R635" s="720"/>
      <c r="S635" s="720"/>
      <c r="T635" s="720"/>
      <c r="U635" s="720"/>
      <c r="V635" s="720"/>
      <c r="W635" s="720"/>
      <c r="X635" s="720"/>
      <c r="Y635" s="720"/>
      <c r="Z635" s="720"/>
      <c r="AA635" s="720"/>
      <c r="AB635" s="720"/>
    </row>
    <row r="636" spans="1:28" ht="12.75" customHeight="1">
      <c r="A636" s="902"/>
      <c r="B636" s="903"/>
      <c r="C636" s="720"/>
      <c r="D636" s="720"/>
      <c r="E636" s="720"/>
      <c r="F636" s="720"/>
      <c r="G636" s="906"/>
      <c r="H636" s="720"/>
      <c r="I636" s="720"/>
      <c r="J636" s="720"/>
      <c r="K636" s="907"/>
      <c r="L636" s="720"/>
      <c r="M636" s="720"/>
      <c r="N636" s="720"/>
      <c r="O636" s="720"/>
      <c r="P636" s="720"/>
      <c r="Q636" s="720"/>
      <c r="R636" s="720"/>
      <c r="S636" s="720"/>
      <c r="T636" s="720"/>
      <c r="U636" s="720"/>
      <c r="V636" s="720"/>
      <c r="W636" s="720"/>
      <c r="X636" s="720"/>
      <c r="Y636" s="720"/>
      <c r="Z636" s="720"/>
      <c r="AA636" s="720"/>
      <c r="AB636" s="720"/>
    </row>
    <row r="637" spans="1:28" ht="12.75" customHeight="1">
      <c r="A637" s="902"/>
      <c r="B637" s="903"/>
      <c r="C637" s="720"/>
      <c r="D637" s="720"/>
      <c r="E637" s="720"/>
      <c r="F637" s="720"/>
      <c r="G637" s="906"/>
      <c r="H637" s="720"/>
      <c r="I637" s="720"/>
      <c r="J637" s="720"/>
      <c r="K637" s="907"/>
      <c r="L637" s="720"/>
      <c r="M637" s="720"/>
      <c r="N637" s="720"/>
      <c r="O637" s="720"/>
      <c r="P637" s="720"/>
      <c r="Q637" s="720"/>
      <c r="R637" s="720"/>
      <c r="S637" s="720"/>
      <c r="T637" s="720"/>
      <c r="U637" s="720"/>
      <c r="V637" s="720"/>
      <c r="W637" s="720"/>
      <c r="X637" s="720"/>
      <c r="Y637" s="720"/>
      <c r="Z637" s="720"/>
      <c r="AA637" s="720"/>
      <c r="AB637" s="720"/>
    </row>
    <row r="638" spans="1:28" ht="12.75" customHeight="1">
      <c r="A638" s="902"/>
      <c r="B638" s="903"/>
      <c r="C638" s="720"/>
      <c r="D638" s="720"/>
      <c r="E638" s="720"/>
      <c r="F638" s="720"/>
      <c r="G638" s="906"/>
      <c r="H638" s="720"/>
      <c r="I638" s="720"/>
      <c r="J638" s="720"/>
      <c r="K638" s="907"/>
      <c r="L638" s="720"/>
      <c r="M638" s="720"/>
      <c r="N638" s="720"/>
      <c r="O638" s="720"/>
      <c r="P638" s="720"/>
      <c r="Q638" s="720"/>
      <c r="R638" s="720"/>
      <c r="S638" s="720"/>
      <c r="T638" s="720"/>
      <c r="U638" s="720"/>
      <c r="V638" s="720"/>
      <c r="W638" s="720"/>
      <c r="X638" s="720"/>
      <c r="Y638" s="720"/>
      <c r="Z638" s="720"/>
      <c r="AA638" s="720"/>
      <c r="AB638" s="720"/>
    </row>
    <row r="639" spans="1:28" ht="12.75" customHeight="1">
      <c r="A639" s="902"/>
      <c r="B639" s="903"/>
      <c r="C639" s="720"/>
      <c r="D639" s="720"/>
      <c r="E639" s="720"/>
      <c r="F639" s="720"/>
      <c r="G639" s="906"/>
      <c r="H639" s="720"/>
      <c r="I639" s="720"/>
      <c r="J639" s="720"/>
      <c r="K639" s="907"/>
      <c r="L639" s="720"/>
      <c r="M639" s="720"/>
      <c r="N639" s="720"/>
      <c r="O639" s="720"/>
      <c r="P639" s="720"/>
      <c r="Q639" s="720"/>
      <c r="R639" s="720"/>
      <c r="S639" s="720"/>
      <c r="T639" s="720"/>
      <c r="U639" s="720"/>
      <c r="V639" s="720"/>
      <c r="W639" s="720"/>
      <c r="X639" s="720"/>
      <c r="Y639" s="720"/>
      <c r="Z639" s="720"/>
      <c r="AA639" s="720"/>
      <c r="AB639" s="720"/>
    </row>
    <row r="640" spans="1:28" ht="12.75" customHeight="1">
      <c r="A640" s="902"/>
      <c r="B640" s="903"/>
      <c r="C640" s="720"/>
      <c r="D640" s="720"/>
      <c r="E640" s="720"/>
      <c r="F640" s="720"/>
      <c r="G640" s="906"/>
      <c r="H640" s="720"/>
      <c r="I640" s="720"/>
      <c r="J640" s="720"/>
      <c r="K640" s="907"/>
      <c r="L640" s="720"/>
      <c r="M640" s="720"/>
      <c r="N640" s="720"/>
      <c r="O640" s="720"/>
      <c r="P640" s="720"/>
      <c r="Q640" s="720"/>
      <c r="R640" s="720"/>
      <c r="S640" s="720"/>
      <c r="T640" s="720"/>
      <c r="U640" s="720"/>
      <c r="V640" s="720"/>
      <c r="W640" s="720"/>
      <c r="X640" s="720"/>
      <c r="Y640" s="720"/>
      <c r="Z640" s="720"/>
      <c r="AA640" s="720"/>
      <c r="AB640" s="720"/>
    </row>
    <row r="641" spans="1:28" ht="12.75" customHeight="1">
      <c r="A641" s="902"/>
      <c r="B641" s="903"/>
      <c r="C641" s="720"/>
      <c r="D641" s="720"/>
      <c r="E641" s="720"/>
      <c r="F641" s="720"/>
      <c r="G641" s="906"/>
      <c r="H641" s="720"/>
      <c r="I641" s="720"/>
      <c r="J641" s="720"/>
      <c r="K641" s="907"/>
      <c r="L641" s="720"/>
      <c r="M641" s="720"/>
      <c r="N641" s="720"/>
      <c r="O641" s="720"/>
      <c r="P641" s="720"/>
      <c r="Q641" s="720"/>
      <c r="R641" s="720"/>
      <c r="S641" s="720"/>
      <c r="T641" s="720"/>
      <c r="U641" s="720"/>
      <c r="V641" s="720"/>
      <c r="W641" s="720"/>
      <c r="X641" s="720"/>
      <c r="Y641" s="720"/>
      <c r="Z641" s="720"/>
      <c r="AA641" s="720"/>
      <c r="AB641" s="720"/>
    </row>
    <row r="642" spans="1:28" ht="12.75" customHeight="1">
      <c r="A642" s="902"/>
      <c r="B642" s="903"/>
      <c r="C642" s="720"/>
      <c r="D642" s="720"/>
      <c r="E642" s="720"/>
      <c r="F642" s="720"/>
      <c r="G642" s="906"/>
      <c r="H642" s="720"/>
      <c r="I642" s="720"/>
      <c r="J642" s="720"/>
      <c r="K642" s="907"/>
      <c r="L642" s="720"/>
      <c r="M642" s="720"/>
      <c r="N642" s="720"/>
      <c r="O642" s="720"/>
      <c r="P642" s="720"/>
      <c r="Q642" s="720"/>
      <c r="R642" s="720"/>
      <c r="S642" s="720"/>
      <c r="T642" s="720"/>
      <c r="U642" s="720"/>
      <c r="V642" s="720"/>
      <c r="W642" s="720"/>
      <c r="X642" s="720"/>
      <c r="Y642" s="720"/>
      <c r="Z642" s="720"/>
      <c r="AA642" s="720"/>
      <c r="AB642" s="720"/>
    </row>
    <row r="643" spans="1:28" ht="12.75" customHeight="1">
      <c r="A643" s="902"/>
      <c r="B643" s="903"/>
      <c r="C643" s="720"/>
      <c r="D643" s="720"/>
      <c r="E643" s="720"/>
      <c r="F643" s="720"/>
      <c r="G643" s="906"/>
      <c r="H643" s="720"/>
      <c r="I643" s="720"/>
      <c r="J643" s="720"/>
      <c r="K643" s="907"/>
      <c r="L643" s="720"/>
      <c r="M643" s="720"/>
      <c r="N643" s="720"/>
      <c r="O643" s="720"/>
      <c r="P643" s="720"/>
      <c r="Q643" s="720"/>
      <c r="R643" s="720"/>
      <c r="S643" s="720"/>
      <c r="T643" s="720"/>
      <c r="U643" s="720"/>
      <c r="V643" s="720"/>
      <c r="W643" s="720"/>
      <c r="X643" s="720"/>
      <c r="Y643" s="720"/>
      <c r="Z643" s="720"/>
      <c r="AA643" s="720"/>
      <c r="AB643" s="720"/>
    </row>
    <row r="644" spans="1:28" ht="12.75" customHeight="1">
      <c r="A644" s="902"/>
      <c r="B644" s="903"/>
      <c r="C644" s="720"/>
      <c r="D644" s="720"/>
      <c r="E644" s="720"/>
      <c r="F644" s="720"/>
      <c r="G644" s="906"/>
      <c r="H644" s="720"/>
      <c r="I644" s="720"/>
      <c r="J644" s="720"/>
      <c r="K644" s="907"/>
      <c r="L644" s="720"/>
      <c r="M644" s="720"/>
      <c r="N644" s="720"/>
      <c r="O644" s="720"/>
      <c r="P644" s="720"/>
      <c r="Q644" s="720"/>
      <c r="R644" s="720"/>
      <c r="S644" s="720"/>
      <c r="T644" s="720"/>
      <c r="U644" s="720"/>
      <c r="V644" s="720"/>
      <c r="W644" s="720"/>
      <c r="X644" s="720"/>
      <c r="Y644" s="720"/>
      <c r="Z644" s="720"/>
      <c r="AA644" s="720"/>
      <c r="AB644" s="720"/>
    </row>
    <row r="645" spans="1:28" ht="12.75" customHeight="1">
      <c r="A645" s="902"/>
      <c r="B645" s="903"/>
      <c r="C645" s="720"/>
      <c r="D645" s="720"/>
      <c r="E645" s="720"/>
      <c r="F645" s="720"/>
      <c r="G645" s="906"/>
      <c r="H645" s="720"/>
      <c r="I645" s="720"/>
      <c r="J645" s="720"/>
      <c r="K645" s="907"/>
      <c r="L645" s="720"/>
      <c r="M645" s="720"/>
      <c r="N645" s="720"/>
      <c r="O645" s="720"/>
      <c r="P645" s="720"/>
      <c r="Q645" s="720"/>
      <c r="R645" s="720"/>
      <c r="S645" s="720"/>
      <c r="T645" s="720"/>
      <c r="U645" s="720"/>
      <c r="V645" s="720"/>
      <c r="W645" s="720"/>
      <c r="X645" s="720"/>
      <c r="Y645" s="720"/>
      <c r="Z645" s="720"/>
      <c r="AA645" s="720"/>
      <c r="AB645" s="720"/>
    </row>
    <row r="646" spans="1:28" ht="12.75" customHeight="1">
      <c r="A646" s="902"/>
      <c r="B646" s="903"/>
      <c r="C646" s="720"/>
      <c r="D646" s="720"/>
      <c r="E646" s="720"/>
      <c r="F646" s="720"/>
      <c r="G646" s="906"/>
      <c r="H646" s="720"/>
      <c r="I646" s="720"/>
      <c r="J646" s="720"/>
      <c r="K646" s="907"/>
      <c r="L646" s="720"/>
      <c r="M646" s="720"/>
      <c r="N646" s="720"/>
      <c r="O646" s="720"/>
      <c r="P646" s="720"/>
      <c r="Q646" s="720"/>
      <c r="R646" s="720"/>
      <c r="S646" s="720"/>
      <c r="T646" s="720"/>
      <c r="U646" s="720"/>
      <c r="V646" s="720"/>
      <c r="W646" s="720"/>
      <c r="X646" s="720"/>
      <c r="Y646" s="720"/>
      <c r="Z646" s="720"/>
      <c r="AA646" s="720"/>
      <c r="AB646" s="720"/>
    </row>
    <row r="647" spans="1:28" ht="12.75" customHeight="1">
      <c r="A647" s="902"/>
      <c r="B647" s="903"/>
      <c r="C647" s="720"/>
      <c r="D647" s="720"/>
      <c r="E647" s="720"/>
      <c r="F647" s="720"/>
      <c r="G647" s="906"/>
      <c r="H647" s="720"/>
      <c r="I647" s="720"/>
      <c r="J647" s="720"/>
      <c r="K647" s="907"/>
      <c r="L647" s="720"/>
      <c r="M647" s="720"/>
      <c r="N647" s="720"/>
      <c r="O647" s="720"/>
      <c r="P647" s="720"/>
      <c r="Q647" s="720"/>
      <c r="R647" s="720"/>
      <c r="S647" s="720"/>
      <c r="T647" s="720"/>
      <c r="U647" s="720"/>
      <c r="V647" s="720"/>
      <c r="W647" s="720"/>
      <c r="X647" s="720"/>
      <c r="Y647" s="720"/>
      <c r="Z647" s="720"/>
      <c r="AA647" s="720"/>
      <c r="AB647" s="720"/>
    </row>
    <row r="648" spans="1:28" ht="12.75" customHeight="1">
      <c r="A648" s="902"/>
      <c r="B648" s="903"/>
      <c r="C648" s="720"/>
      <c r="D648" s="720"/>
      <c r="E648" s="720"/>
      <c r="F648" s="720"/>
      <c r="G648" s="906"/>
      <c r="H648" s="720"/>
      <c r="I648" s="720"/>
      <c r="J648" s="720"/>
      <c r="K648" s="907"/>
      <c r="L648" s="720"/>
      <c r="M648" s="720"/>
      <c r="N648" s="720"/>
      <c r="O648" s="720"/>
      <c r="P648" s="720"/>
      <c r="Q648" s="720"/>
      <c r="R648" s="720"/>
      <c r="S648" s="720"/>
      <c r="T648" s="720"/>
      <c r="U648" s="720"/>
      <c r="V648" s="720"/>
      <c r="W648" s="720"/>
      <c r="X648" s="720"/>
      <c r="Y648" s="720"/>
      <c r="Z648" s="720"/>
      <c r="AA648" s="720"/>
      <c r="AB648" s="720"/>
    </row>
    <row r="649" spans="1:28" ht="12.75" customHeight="1">
      <c r="A649" s="902"/>
      <c r="B649" s="903"/>
      <c r="C649" s="720"/>
      <c r="D649" s="720"/>
      <c r="E649" s="720"/>
      <c r="F649" s="720"/>
      <c r="G649" s="906"/>
      <c r="H649" s="720"/>
      <c r="I649" s="720"/>
      <c r="J649" s="720"/>
      <c r="K649" s="907"/>
      <c r="L649" s="720"/>
      <c r="M649" s="720"/>
      <c r="N649" s="720"/>
      <c r="O649" s="720"/>
      <c r="P649" s="720"/>
      <c r="Q649" s="720"/>
      <c r="R649" s="720"/>
      <c r="S649" s="720"/>
      <c r="T649" s="720"/>
      <c r="U649" s="720"/>
      <c r="V649" s="720"/>
      <c r="W649" s="720"/>
      <c r="X649" s="720"/>
      <c r="Y649" s="720"/>
      <c r="Z649" s="720"/>
      <c r="AA649" s="720"/>
      <c r="AB649" s="720"/>
    </row>
    <row r="650" spans="1:28" ht="12.75" customHeight="1">
      <c r="A650" s="902"/>
      <c r="B650" s="903"/>
      <c r="C650" s="720"/>
      <c r="D650" s="720"/>
      <c r="E650" s="720"/>
      <c r="F650" s="720"/>
      <c r="G650" s="906"/>
      <c r="H650" s="720"/>
      <c r="I650" s="720"/>
      <c r="J650" s="720"/>
      <c r="K650" s="907"/>
      <c r="L650" s="720"/>
      <c r="M650" s="720"/>
      <c r="N650" s="720"/>
      <c r="O650" s="720"/>
      <c r="P650" s="720"/>
      <c r="Q650" s="720"/>
      <c r="R650" s="720"/>
      <c r="S650" s="720"/>
      <c r="T650" s="720"/>
      <c r="U650" s="720"/>
      <c r="V650" s="720"/>
      <c r="W650" s="720"/>
      <c r="X650" s="720"/>
      <c r="Y650" s="720"/>
      <c r="Z650" s="720"/>
      <c r="AA650" s="720"/>
      <c r="AB650" s="720"/>
    </row>
    <row r="651" spans="1:28" ht="12.75" customHeight="1">
      <c r="A651" s="902"/>
      <c r="B651" s="903"/>
      <c r="C651" s="720"/>
      <c r="D651" s="720"/>
      <c r="E651" s="720"/>
      <c r="F651" s="720"/>
      <c r="G651" s="906"/>
      <c r="H651" s="720"/>
      <c r="I651" s="720"/>
      <c r="J651" s="720"/>
      <c r="K651" s="907"/>
      <c r="L651" s="720"/>
      <c r="M651" s="720"/>
      <c r="N651" s="720"/>
      <c r="O651" s="720"/>
      <c r="P651" s="720"/>
      <c r="Q651" s="720"/>
      <c r="R651" s="720"/>
      <c r="S651" s="720"/>
      <c r="T651" s="720"/>
      <c r="U651" s="720"/>
      <c r="V651" s="720"/>
      <c r="W651" s="720"/>
      <c r="X651" s="720"/>
      <c r="Y651" s="720"/>
      <c r="Z651" s="720"/>
      <c r="AA651" s="720"/>
      <c r="AB651" s="720"/>
    </row>
    <row r="652" spans="1:28" ht="12.75" customHeight="1">
      <c r="A652" s="902"/>
      <c r="B652" s="903"/>
      <c r="C652" s="720"/>
      <c r="D652" s="720"/>
      <c r="E652" s="720"/>
      <c r="F652" s="720"/>
      <c r="G652" s="906"/>
      <c r="H652" s="720"/>
      <c r="I652" s="720"/>
      <c r="J652" s="720"/>
      <c r="K652" s="907"/>
      <c r="L652" s="720"/>
      <c r="M652" s="720"/>
      <c r="N652" s="720"/>
      <c r="O652" s="720"/>
      <c r="P652" s="720"/>
      <c r="Q652" s="720"/>
      <c r="R652" s="720"/>
      <c r="S652" s="720"/>
      <c r="T652" s="720"/>
      <c r="U652" s="720"/>
      <c r="V652" s="720"/>
      <c r="W652" s="720"/>
      <c r="X652" s="720"/>
      <c r="Y652" s="720"/>
      <c r="Z652" s="720"/>
      <c r="AA652" s="720"/>
      <c r="AB652" s="720"/>
    </row>
    <row r="653" spans="1:28" ht="12.75" customHeight="1">
      <c r="A653" s="902"/>
      <c r="B653" s="903"/>
      <c r="C653" s="720"/>
      <c r="D653" s="720"/>
      <c r="E653" s="720"/>
      <c r="F653" s="720"/>
      <c r="G653" s="906"/>
      <c r="H653" s="720"/>
      <c r="I653" s="720"/>
      <c r="J653" s="720"/>
      <c r="K653" s="907"/>
      <c r="L653" s="720"/>
      <c r="M653" s="720"/>
      <c r="N653" s="720"/>
      <c r="O653" s="720"/>
      <c r="P653" s="720"/>
      <c r="Q653" s="720"/>
      <c r="R653" s="720"/>
      <c r="S653" s="720"/>
      <c r="T653" s="720"/>
      <c r="U653" s="720"/>
      <c r="V653" s="720"/>
      <c r="W653" s="720"/>
      <c r="X653" s="720"/>
      <c r="Y653" s="720"/>
      <c r="Z653" s="720"/>
      <c r="AA653" s="720"/>
      <c r="AB653" s="720"/>
    </row>
    <row r="654" spans="1:28" ht="12.75" customHeight="1">
      <c r="A654" s="902"/>
      <c r="B654" s="903"/>
      <c r="C654" s="720"/>
      <c r="D654" s="720"/>
      <c r="E654" s="720"/>
      <c r="F654" s="720"/>
      <c r="G654" s="906"/>
      <c r="H654" s="720"/>
      <c r="I654" s="720"/>
      <c r="J654" s="720"/>
      <c r="K654" s="907"/>
      <c r="L654" s="720"/>
      <c r="M654" s="720"/>
      <c r="N654" s="720"/>
      <c r="O654" s="720"/>
      <c r="P654" s="720"/>
      <c r="Q654" s="720"/>
      <c r="R654" s="720"/>
      <c r="S654" s="720"/>
      <c r="T654" s="720"/>
      <c r="U654" s="720"/>
      <c r="V654" s="720"/>
      <c r="W654" s="720"/>
      <c r="X654" s="720"/>
      <c r="Y654" s="720"/>
      <c r="Z654" s="720"/>
      <c r="AA654" s="720"/>
      <c r="AB654" s="720"/>
    </row>
    <row r="655" spans="1:28" ht="12.75" customHeight="1">
      <c r="A655" s="902"/>
      <c r="B655" s="903"/>
      <c r="C655" s="720"/>
      <c r="D655" s="720"/>
      <c r="E655" s="720"/>
      <c r="F655" s="720"/>
      <c r="G655" s="906"/>
      <c r="H655" s="720"/>
      <c r="I655" s="720"/>
      <c r="J655" s="720"/>
      <c r="K655" s="907"/>
      <c r="L655" s="720"/>
      <c r="M655" s="720"/>
      <c r="N655" s="720"/>
      <c r="O655" s="720"/>
      <c r="P655" s="720"/>
      <c r="Q655" s="720"/>
      <c r="R655" s="720"/>
      <c r="S655" s="720"/>
      <c r="T655" s="720"/>
      <c r="U655" s="720"/>
      <c r="V655" s="720"/>
      <c r="W655" s="720"/>
      <c r="X655" s="720"/>
      <c r="Y655" s="720"/>
      <c r="Z655" s="720"/>
      <c r="AA655" s="720"/>
      <c r="AB655" s="720"/>
    </row>
    <row r="656" spans="1:28" ht="12.75" customHeight="1">
      <c r="A656" s="902"/>
      <c r="B656" s="903"/>
      <c r="C656" s="720"/>
      <c r="D656" s="720"/>
      <c r="E656" s="720"/>
      <c r="F656" s="720"/>
      <c r="G656" s="906"/>
      <c r="H656" s="720"/>
      <c r="I656" s="720"/>
      <c r="J656" s="720"/>
      <c r="K656" s="907"/>
      <c r="L656" s="720"/>
      <c r="M656" s="720"/>
      <c r="N656" s="720"/>
      <c r="O656" s="720"/>
      <c r="P656" s="720"/>
      <c r="Q656" s="720"/>
      <c r="R656" s="720"/>
      <c r="S656" s="720"/>
      <c r="T656" s="720"/>
      <c r="U656" s="720"/>
      <c r="V656" s="720"/>
      <c r="W656" s="720"/>
      <c r="X656" s="720"/>
      <c r="Y656" s="720"/>
      <c r="Z656" s="720"/>
      <c r="AA656" s="720"/>
      <c r="AB656" s="720"/>
    </row>
    <row r="657" spans="1:28" ht="12.75" customHeight="1">
      <c r="A657" s="902"/>
      <c r="B657" s="903"/>
      <c r="C657" s="720"/>
      <c r="D657" s="720"/>
      <c r="E657" s="720"/>
      <c r="F657" s="720"/>
      <c r="G657" s="906"/>
      <c r="H657" s="720"/>
      <c r="I657" s="720"/>
      <c r="J657" s="720"/>
      <c r="K657" s="907"/>
      <c r="L657" s="720"/>
      <c r="M657" s="720"/>
      <c r="N657" s="720"/>
      <c r="O657" s="720"/>
      <c r="P657" s="720"/>
      <c r="Q657" s="720"/>
      <c r="R657" s="720"/>
      <c r="S657" s="720"/>
      <c r="T657" s="720"/>
      <c r="U657" s="720"/>
      <c r="V657" s="720"/>
      <c r="W657" s="720"/>
      <c r="X657" s="720"/>
      <c r="Y657" s="720"/>
      <c r="Z657" s="720"/>
      <c r="AA657" s="720"/>
      <c r="AB657" s="720"/>
    </row>
    <row r="658" spans="1:28" ht="12.75" customHeight="1">
      <c r="A658" s="902"/>
      <c r="B658" s="903"/>
      <c r="C658" s="720"/>
      <c r="D658" s="720"/>
      <c r="E658" s="720"/>
      <c r="F658" s="720"/>
      <c r="G658" s="906"/>
      <c r="H658" s="720"/>
      <c r="I658" s="720"/>
      <c r="J658" s="720"/>
      <c r="K658" s="907"/>
      <c r="L658" s="720"/>
      <c r="M658" s="720"/>
      <c r="N658" s="720"/>
      <c r="O658" s="720"/>
      <c r="P658" s="720"/>
      <c r="Q658" s="720"/>
      <c r="R658" s="720"/>
      <c r="S658" s="720"/>
      <c r="T658" s="720"/>
      <c r="U658" s="720"/>
      <c r="V658" s="720"/>
      <c r="W658" s="720"/>
      <c r="X658" s="720"/>
      <c r="Y658" s="720"/>
      <c r="Z658" s="720"/>
      <c r="AA658" s="720"/>
      <c r="AB658" s="720"/>
    </row>
    <row r="659" spans="1:28" ht="12.75" customHeight="1">
      <c r="A659" s="902"/>
      <c r="B659" s="903"/>
      <c r="C659" s="720"/>
      <c r="D659" s="720"/>
      <c r="E659" s="720"/>
      <c r="F659" s="720"/>
      <c r="G659" s="906"/>
      <c r="H659" s="720"/>
      <c r="I659" s="720"/>
      <c r="J659" s="720"/>
      <c r="K659" s="907"/>
      <c r="L659" s="720"/>
      <c r="M659" s="720"/>
      <c r="N659" s="720"/>
      <c r="O659" s="720"/>
      <c r="P659" s="720"/>
      <c r="Q659" s="720"/>
      <c r="R659" s="720"/>
      <c r="S659" s="720"/>
      <c r="T659" s="720"/>
      <c r="U659" s="720"/>
      <c r="V659" s="720"/>
      <c r="W659" s="720"/>
      <c r="X659" s="720"/>
      <c r="Y659" s="720"/>
      <c r="Z659" s="720"/>
      <c r="AA659" s="720"/>
      <c r="AB659" s="720"/>
    </row>
    <row r="660" spans="1:28" ht="12.75" customHeight="1">
      <c r="A660" s="902"/>
      <c r="B660" s="903"/>
      <c r="C660" s="720"/>
      <c r="D660" s="720"/>
      <c r="E660" s="720"/>
      <c r="F660" s="720"/>
      <c r="G660" s="906"/>
      <c r="H660" s="720"/>
      <c r="I660" s="720"/>
      <c r="J660" s="720"/>
      <c r="K660" s="907"/>
      <c r="L660" s="720"/>
      <c r="M660" s="720"/>
      <c r="N660" s="720"/>
      <c r="O660" s="720"/>
      <c r="P660" s="720"/>
      <c r="Q660" s="720"/>
      <c r="R660" s="720"/>
      <c r="S660" s="720"/>
      <c r="T660" s="720"/>
      <c r="U660" s="720"/>
      <c r="V660" s="720"/>
      <c r="W660" s="720"/>
      <c r="X660" s="720"/>
      <c r="Y660" s="720"/>
      <c r="Z660" s="720"/>
      <c r="AA660" s="720"/>
      <c r="AB660" s="720"/>
    </row>
    <row r="661" spans="1:28" ht="12.75" customHeight="1">
      <c r="A661" s="902"/>
      <c r="B661" s="903"/>
      <c r="C661" s="720"/>
      <c r="D661" s="720"/>
      <c r="E661" s="720"/>
      <c r="F661" s="720"/>
      <c r="G661" s="906"/>
      <c r="H661" s="720"/>
      <c r="I661" s="720"/>
      <c r="J661" s="720"/>
      <c r="K661" s="907"/>
      <c r="L661" s="720"/>
      <c r="M661" s="720"/>
      <c r="N661" s="720"/>
      <c r="O661" s="720"/>
      <c r="P661" s="720"/>
      <c r="Q661" s="720"/>
      <c r="R661" s="720"/>
      <c r="S661" s="720"/>
      <c r="T661" s="720"/>
      <c r="U661" s="720"/>
      <c r="V661" s="720"/>
      <c r="W661" s="720"/>
      <c r="X661" s="720"/>
      <c r="Y661" s="720"/>
      <c r="Z661" s="720"/>
      <c r="AA661" s="720"/>
      <c r="AB661" s="720"/>
    </row>
    <row r="662" spans="1:28" ht="12.75" customHeight="1">
      <c r="A662" s="902"/>
      <c r="B662" s="903"/>
      <c r="C662" s="720"/>
      <c r="D662" s="720"/>
      <c r="E662" s="720"/>
      <c r="F662" s="720"/>
      <c r="G662" s="906"/>
      <c r="H662" s="720"/>
      <c r="I662" s="720"/>
      <c r="J662" s="720"/>
      <c r="K662" s="907"/>
      <c r="L662" s="720"/>
      <c r="M662" s="720"/>
      <c r="N662" s="720"/>
      <c r="O662" s="720"/>
      <c r="P662" s="720"/>
      <c r="Q662" s="720"/>
      <c r="R662" s="720"/>
      <c r="S662" s="720"/>
      <c r="T662" s="720"/>
      <c r="U662" s="720"/>
      <c r="V662" s="720"/>
      <c r="W662" s="720"/>
      <c r="X662" s="720"/>
      <c r="Y662" s="720"/>
      <c r="Z662" s="720"/>
      <c r="AA662" s="720"/>
      <c r="AB662" s="720"/>
    </row>
    <row r="663" spans="1:28" ht="12.75" customHeight="1">
      <c r="A663" s="902"/>
      <c r="B663" s="903"/>
      <c r="C663" s="720"/>
      <c r="D663" s="720"/>
      <c r="E663" s="720"/>
      <c r="F663" s="720"/>
      <c r="G663" s="906"/>
      <c r="H663" s="720"/>
      <c r="I663" s="720"/>
      <c r="J663" s="720"/>
      <c r="K663" s="907"/>
      <c r="L663" s="720"/>
      <c r="M663" s="720"/>
      <c r="N663" s="720"/>
      <c r="O663" s="720"/>
      <c r="P663" s="720"/>
      <c r="Q663" s="720"/>
      <c r="R663" s="720"/>
      <c r="S663" s="720"/>
      <c r="T663" s="720"/>
      <c r="U663" s="720"/>
      <c r="V663" s="720"/>
      <c r="W663" s="720"/>
      <c r="X663" s="720"/>
      <c r="Y663" s="720"/>
      <c r="Z663" s="720"/>
      <c r="AA663" s="720"/>
      <c r="AB663" s="720"/>
    </row>
    <row r="664" spans="1:28" ht="12.75" customHeight="1">
      <c r="A664" s="902"/>
      <c r="B664" s="903"/>
      <c r="C664" s="720"/>
      <c r="D664" s="720"/>
      <c r="E664" s="720"/>
      <c r="F664" s="720"/>
      <c r="G664" s="906"/>
      <c r="H664" s="720"/>
      <c r="I664" s="720"/>
      <c r="J664" s="720"/>
      <c r="K664" s="907"/>
      <c r="L664" s="720"/>
      <c r="M664" s="720"/>
      <c r="N664" s="720"/>
      <c r="O664" s="720"/>
      <c r="P664" s="720"/>
      <c r="Q664" s="720"/>
      <c r="R664" s="720"/>
      <c r="S664" s="720"/>
      <c r="T664" s="720"/>
      <c r="U664" s="720"/>
      <c r="V664" s="720"/>
      <c r="W664" s="720"/>
      <c r="X664" s="720"/>
      <c r="Y664" s="720"/>
      <c r="Z664" s="720"/>
      <c r="AA664" s="720"/>
      <c r="AB664" s="720"/>
    </row>
    <row r="665" spans="1:28" ht="12.75" customHeight="1">
      <c r="A665" s="902"/>
      <c r="B665" s="903"/>
      <c r="C665" s="720"/>
      <c r="D665" s="720"/>
      <c r="E665" s="720"/>
      <c r="F665" s="720"/>
      <c r="G665" s="906"/>
      <c r="H665" s="720"/>
      <c r="I665" s="720"/>
      <c r="J665" s="720"/>
      <c r="K665" s="907"/>
      <c r="L665" s="720"/>
      <c r="M665" s="720"/>
      <c r="N665" s="720"/>
      <c r="O665" s="720"/>
      <c r="P665" s="720"/>
      <c r="Q665" s="720"/>
      <c r="R665" s="720"/>
      <c r="S665" s="720"/>
      <c r="T665" s="720"/>
      <c r="U665" s="720"/>
      <c r="V665" s="720"/>
      <c r="W665" s="720"/>
      <c r="X665" s="720"/>
      <c r="Y665" s="720"/>
      <c r="Z665" s="720"/>
      <c r="AA665" s="720"/>
      <c r="AB665" s="720"/>
    </row>
    <row r="666" spans="1:28" ht="12.75" customHeight="1">
      <c r="A666" s="902"/>
      <c r="B666" s="903"/>
      <c r="C666" s="720"/>
      <c r="D666" s="720"/>
      <c r="E666" s="720"/>
      <c r="F666" s="720"/>
      <c r="G666" s="906"/>
      <c r="H666" s="720"/>
      <c r="I666" s="720"/>
      <c r="J666" s="720"/>
      <c r="K666" s="907"/>
      <c r="L666" s="720"/>
      <c r="M666" s="720"/>
      <c r="N666" s="720"/>
      <c r="O666" s="720"/>
      <c r="P666" s="720"/>
      <c r="Q666" s="720"/>
      <c r="R666" s="720"/>
      <c r="S666" s="720"/>
      <c r="T666" s="720"/>
      <c r="U666" s="720"/>
      <c r="V666" s="720"/>
      <c r="W666" s="720"/>
      <c r="X666" s="720"/>
      <c r="Y666" s="720"/>
      <c r="Z666" s="720"/>
      <c r="AA666" s="720"/>
      <c r="AB666" s="720"/>
    </row>
    <row r="667" spans="1:28" ht="12.75" customHeight="1">
      <c r="A667" s="902"/>
      <c r="B667" s="903"/>
      <c r="C667" s="720"/>
      <c r="D667" s="720"/>
      <c r="E667" s="720"/>
      <c r="F667" s="720"/>
      <c r="G667" s="906"/>
      <c r="H667" s="720"/>
      <c r="I667" s="720"/>
      <c r="J667" s="720"/>
      <c r="K667" s="907"/>
      <c r="L667" s="720"/>
      <c r="M667" s="720"/>
      <c r="N667" s="720"/>
      <c r="O667" s="720"/>
      <c r="P667" s="720"/>
      <c r="Q667" s="720"/>
      <c r="R667" s="720"/>
      <c r="S667" s="720"/>
      <c r="T667" s="720"/>
      <c r="U667" s="720"/>
      <c r="V667" s="720"/>
      <c r="W667" s="720"/>
      <c r="X667" s="720"/>
      <c r="Y667" s="720"/>
      <c r="Z667" s="720"/>
      <c r="AA667" s="720"/>
      <c r="AB667" s="720"/>
    </row>
    <row r="668" spans="1:28" ht="12.75" customHeight="1">
      <c r="A668" s="902"/>
      <c r="B668" s="903"/>
      <c r="C668" s="720"/>
      <c r="D668" s="720"/>
      <c r="E668" s="720"/>
      <c r="F668" s="720"/>
      <c r="G668" s="906"/>
      <c r="H668" s="720"/>
      <c r="I668" s="720"/>
      <c r="J668" s="720"/>
      <c r="K668" s="907"/>
      <c r="L668" s="720"/>
      <c r="M668" s="720"/>
      <c r="N668" s="720"/>
      <c r="O668" s="720"/>
      <c r="P668" s="720"/>
      <c r="Q668" s="720"/>
      <c r="R668" s="720"/>
      <c r="S668" s="720"/>
      <c r="T668" s="720"/>
      <c r="U668" s="720"/>
      <c r="V668" s="720"/>
      <c r="W668" s="720"/>
      <c r="X668" s="720"/>
      <c r="Y668" s="720"/>
      <c r="Z668" s="720"/>
      <c r="AA668" s="720"/>
      <c r="AB668" s="720"/>
    </row>
    <row r="669" spans="1:28" ht="12.75" customHeight="1">
      <c r="A669" s="902"/>
      <c r="B669" s="903"/>
      <c r="C669" s="720"/>
      <c r="D669" s="720"/>
      <c r="E669" s="720"/>
      <c r="F669" s="720"/>
      <c r="G669" s="906"/>
      <c r="H669" s="720"/>
      <c r="I669" s="720"/>
      <c r="J669" s="720"/>
      <c r="K669" s="907"/>
      <c r="L669" s="720"/>
      <c r="M669" s="720"/>
      <c r="N669" s="720"/>
      <c r="O669" s="720"/>
      <c r="P669" s="720"/>
      <c r="Q669" s="720"/>
      <c r="R669" s="720"/>
      <c r="S669" s="720"/>
      <c r="T669" s="720"/>
      <c r="U669" s="720"/>
      <c r="V669" s="720"/>
      <c r="W669" s="720"/>
      <c r="X669" s="720"/>
      <c r="Y669" s="720"/>
      <c r="Z669" s="720"/>
      <c r="AA669" s="720"/>
      <c r="AB669" s="720"/>
    </row>
    <row r="670" spans="1:28" ht="12.75" customHeight="1">
      <c r="A670" s="902"/>
      <c r="B670" s="903"/>
      <c r="C670" s="720"/>
      <c r="D670" s="720"/>
      <c r="E670" s="720"/>
      <c r="F670" s="720"/>
      <c r="G670" s="906"/>
      <c r="H670" s="720"/>
      <c r="I670" s="720"/>
      <c r="J670" s="720"/>
      <c r="K670" s="907"/>
      <c r="L670" s="720"/>
      <c r="M670" s="720"/>
      <c r="N670" s="720"/>
      <c r="O670" s="720"/>
      <c r="P670" s="720"/>
      <c r="Q670" s="720"/>
      <c r="R670" s="720"/>
      <c r="S670" s="720"/>
      <c r="T670" s="720"/>
      <c r="U670" s="720"/>
      <c r="V670" s="720"/>
      <c r="W670" s="720"/>
      <c r="X670" s="720"/>
      <c r="Y670" s="720"/>
      <c r="Z670" s="720"/>
      <c r="AA670" s="720"/>
      <c r="AB670" s="720"/>
    </row>
    <row r="671" spans="1:28" ht="12.75" customHeight="1">
      <c r="A671" s="902"/>
      <c r="B671" s="903"/>
      <c r="C671" s="720"/>
      <c r="D671" s="720"/>
      <c r="E671" s="720"/>
      <c r="F671" s="720"/>
      <c r="G671" s="906"/>
      <c r="H671" s="720"/>
      <c r="I671" s="720"/>
      <c r="J671" s="720"/>
      <c r="K671" s="907"/>
      <c r="L671" s="720"/>
      <c r="M671" s="720"/>
      <c r="N671" s="720"/>
      <c r="O671" s="720"/>
      <c r="P671" s="720"/>
      <c r="Q671" s="720"/>
      <c r="R671" s="720"/>
      <c r="S671" s="720"/>
      <c r="T671" s="720"/>
      <c r="U671" s="720"/>
      <c r="V671" s="720"/>
      <c r="W671" s="720"/>
      <c r="X671" s="720"/>
      <c r="Y671" s="720"/>
      <c r="Z671" s="720"/>
      <c r="AA671" s="720"/>
      <c r="AB671" s="720"/>
    </row>
    <row r="672" spans="1:28" ht="12.75" customHeight="1">
      <c r="A672" s="902"/>
      <c r="B672" s="903"/>
      <c r="C672" s="720"/>
      <c r="D672" s="720"/>
      <c r="E672" s="720"/>
      <c r="F672" s="720"/>
      <c r="G672" s="906"/>
      <c r="H672" s="720"/>
      <c r="I672" s="720"/>
      <c r="J672" s="720"/>
      <c r="K672" s="907"/>
      <c r="L672" s="720"/>
      <c r="M672" s="720"/>
      <c r="N672" s="720"/>
      <c r="O672" s="720"/>
      <c r="P672" s="720"/>
      <c r="Q672" s="720"/>
      <c r="R672" s="720"/>
      <c r="S672" s="720"/>
      <c r="T672" s="720"/>
      <c r="U672" s="720"/>
      <c r="V672" s="720"/>
      <c r="W672" s="720"/>
      <c r="X672" s="720"/>
      <c r="Y672" s="720"/>
      <c r="Z672" s="720"/>
      <c r="AA672" s="720"/>
      <c r="AB672" s="720"/>
    </row>
    <row r="673" spans="1:28" ht="12.75" customHeight="1">
      <c r="A673" s="902"/>
      <c r="B673" s="903"/>
      <c r="C673" s="720"/>
      <c r="D673" s="720"/>
      <c r="E673" s="720"/>
      <c r="F673" s="720"/>
      <c r="G673" s="906"/>
      <c r="H673" s="720"/>
      <c r="I673" s="720"/>
      <c r="J673" s="720"/>
      <c r="K673" s="907"/>
      <c r="L673" s="720"/>
      <c r="M673" s="720"/>
      <c r="N673" s="720"/>
      <c r="O673" s="720"/>
      <c r="P673" s="720"/>
      <c r="Q673" s="720"/>
      <c r="R673" s="720"/>
      <c r="S673" s="720"/>
      <c r="T673" s="720"/>
      <c r="U673" s="720"/>
      <c r="V673" s="720"/>
      <c r="W673" s="720"/>
      <c r="X673" s="720"/>
      <c r="Y673" s="720"/>
      <c r="Z673" s="720"/>
      <c r="AA673" s="720"/>
      <c r="AB673" s="720"/>
    </row>
    <row r="674" spans="1:28" ht="12.75" customHeight="1">
      <c r="A674" s="902"/>
      <c r="B674" s="903"/>
      <c r="C674" s="720"/>
      <c r="D674" s="720"/>
      <c r="E674" s="720"/>
      <c r="F674" s="720"/>
      <c r="G674" s="906"/>
      <c r="H674" s="720"/>
      <c r="I674" s="720"/>
      <c r="J674" s="720"/>
      <c r="K674" s="907"/>
      <c r="L674" s="720"/>
      <c r="M674" s="720"/>
      <c r="N674" s="720"/>
      <c r="O674" s="720"/>
      <c r="P674" s="720"/>
      <c r="Q674" s="720"/>
      <c r="R674" s="720"/>
      <c r="S674" s="720"/>
      <c r="T674" s="720"/>
      <c r="U674" s="720"/>
      <c r="V674" s="720"/>
      <c r="W674" s="720"/>
      <c r="X674" s="720"/>
      <c r="Y674" s="720"/>
      <c r="Z674" s="720"/>
      <c r="AA674" s="720"/>
      <c r="AB674" s="720"/>
    </row>
    <row r="675" spans="1:28" ht="12.75" customHeight="1">
      <c r="A675" s="902"/>
      <c r="B675" s="903"/>
      <c r="C675" s="720"/>
      <c r="D675" s="720"/>
      <c r="E675" s="720"/>
      <c r="F675" s="720"/>
      <c r="G675" s="906"/>
      <c r="H675" s="720"/>
      <c r="I675" s="720"/>
      <c r="J675" s="720"/>
      <c r="K675" s="907"/>
      <c r="L675" s="720"/>
      <c r="M675" s="720"/>
      <c r="N675" s="720"/>
      <c r="O675" s="720"/>
      <c r="P675" s="720"/>
      <c r="Q675" s="720"/>
      <c r="R675" s="720"/>
      <c r="S675" s="720"/>
      <c r="T675" s="720"/>
      <c r="U675" s="720"/>
      <c r="V675" s="720"/>
      <c r="W675" s="720"/>
      <c r="X675" s="720"/>
      <c r="Y675" s="720"/>
      <c r="Z675" s="720"/>
      <c r="AA675" s="720"/>
      <c r="AB675" s="720"/>
    </row>
    <row r="676" spans="1:28" ht="12.75" customHeight="1">
      <c r="A676" s="902"/>
      <c r="B676" s="903"/>
      <c r="C676" s="720"/>
      <c r="D676" s="720"/>
      <c r="E676" s="720"/>
      <c r="F676" s="720"/>
      <c r="G676" s="906"/>
      <c r="H676" s="720"/>
      <c r="I676" s="720"/>
      <c r="J676" s="720"/>
      <c r="K676" s="907"/>
      <c r="L676" s="720"/>
      <c r="M676" s="720"/>
      <c r="N676" s="720"/>
      <c r="O676" s="720"/>
      <c r="P676" s="720"/>
      <c r="Q676" s="720"/>
      <c r="R676" s="720"/>
      <c r="S676" s="720"/>
      <c r="T676" s="720"/>
      <c r="U676" s="720"/>
      <c r="V676" s="720"/>
      <c r="W676" s="720"/>
      <c r="X676" s="720"/>
      <c r="Y676" s="720"/>
      <c r="Z676" s="720"/>
      <c r="AA676" s="720"/>
      <c r="AB676" s="720"/>
    </row>
    <row r="677" spans="1:28" ht="12.75" customHeight="1">
      <c r="A677" s="902"/>
      <c r="B677" s="903"/>
      <c r="C677" s="720"/>
      <c r="D677" s="720"/>
      <c r="E677" s="720"/>
      <c r="F677" s="720"/>
      <c r="G677" s="906"/>
      <c r="H677" s="720"/>
      <c r="I677" s="720"/>
      <c r="J677" s="720"/>
      <c r="K677" s="907"/>
      <c r="L677" s="720"/>
      <c r="M677" s="720"/>
      <c r="N677" s="720"/>
      <c r="O677" s="720"/>
      <c r="P677" s="720"/>
      <c r="Q677" s="720"/>
      <c r="R677" s="720"/>
      <c r="S677" s="720"/>
      <c r="T677" s="720"/>
      <c r="U677" s="720"/>
      <c r="V677" s="720"/>
      <c r="W677" s="720"/>
      <c r="X677" s="720"/>
      <c r="Y677" s="720"/>
      <c r="Z677" s="720"/>
      <c r="AA677" s="720"/>
      <c r="AB677" s="720"/>
    </row>
    <row r="678" spans="1:28" ht="12.75" customHeight="1">
      <c r="A678" s="902"/>
      <c r="B678" s="903"/>
      <c r="C678" s="720"/>
      <c r="D678" s="720"/>
      <c r="E678" s="720"/>
      <c r="F678" s="720"/>
      <c r="G678" s="906"/>
      <c r="H678" s="720"/>
      <c r="I678" s="720"/>
      <c r="J678" s="720"/>
      <c r="K678" s="907"/>
      <c r="L678" s="720"/>
      <c r="M678" s="720"/>
      <c r="N678" s="720"/>
      <c r="O678" s="720"/>
      <c r="P678" s="720"/>
      <c r="Q678" s="720"/>
      <c r="R678" s="720"/>
      <c r="S678" s="720"/>
      <c r="T678" s="720"/>
      <c r="U678" s="720"/>
      <c r="V678" s="720"/>
      <c r="W678" s="720"/>
      <c r="X678" s="720"/>
      <c r="Y678" s="720"/>
      <c r="Z678" s="720"/>
      <c r="AA678" s="720"/>
      <c r="AB678" s="720"/>
    </row>
    <row r="679" spans="1:28" ht="12.75" customHeight="1">
      <c r="A679" s="902"/>
      <c r="B679" s="903"/>
      <c r="C679" s="720"/>
      <c r="D679" s="720"/>
      <c r="E679" s="720"/>
      <c r="F679" s="720"/>
      <c r="G679" s="906"/>
      <c r="H679" s="720"/>
      <c r="I679" s="720"/>
      <c r="J679" s="720"/>
      <c r="K679" s="907"/>
      <c r="L679" s="720"/>
      <c r="M679" s="720"/>
      <c r="N679" s="720"/>
      <c r="O679" s="720"/>
      <c r="P679" s="720"/>
      <c r="Q679" s="720"/>
      <c r="R679" s="720"/>
      <c r="S679" s="720"/>
      <c r="T679" s="720"/>
      <c r="U679" s="720"/>
      <c r="V679" s="720"/>
      <c r="W679" s="720"/>
      <c r="X679" s="720"/>
      <c r="Y679" s="720"/>
      <c r="Z679" s="720"/>
      <c r="AA679" s="720"/>
      <c r="AB679" s="720"/>
    </row>
    <row r="680" spans="1:28" ht="12.75" customHeight="1">
      <c r="A680" s="902"/>
      <c r="B680" s="903"/>
      <c r="C680" s="720"/>
      <c r="D680" s="720"/>
      <c r="E680" s="720"/>
      <c r="F680" s="720"/>
      <c r="G680" s="906"/>
      <c r="H680" s="720"/>
      <c r="I680" s="720"/>
      <c r="J680" s="720"/>
      <c r="K680" s="907"/>
      <c r="L680" s="720"/>
      <c r="M680" s="720"/>
      <c r="N680" s="720"/>
      <c r="O680" s="720"/>
      <c r="P680" s="720"/>
      <c r="Q680" s="720"/>
      <c r="R680" s="720"/>
      <c r="S680" s="720"/>
      <c r="T680" s="720"/>
      <c r="U680" s="720"/>
      <c r="V680" s="720"/>
      <c r="W680" s="720"/>
      <c r="X680" s="720"/>
      <c r="Y680" s="720"/>
      <c r="Z680" s="720"/>
      <c r="AA680" s="720"/>
      <c r="AB680" s="720"/>
    </row>
    <row r="681" spans="1:28" ht="12.75" customHeight="1">
      <c r="A681" s="902"/>
      <c r="B681" s="903"/>
      <c r="C681" s="720"/>
      <c r="D681" s="720"/>
      <c r="E681" s="720"/>
      <c r="F681" s="720"/>
      <c r="G681" s="906"/>
      <c r="H681" s="720"/>
      <c r="I681" s="720"/>
      <c r="J681" s="720"/>
      <c r="K681" s="907"/>
      <c r="L681" s="720"/>
      <c r="M681" s="720"/>
      <c r="N681" s="720"/>
      <c r="O681" s="720"/>
      <c r="P681" s="720"/>
      <c r="Q681" s="720"/>
      <c r="R681" s="720"/>
      <c r="S681" s="720"/>
      <c r="T681" s="720"/>
      <c r="U681" s="720"/>
      <c r="V681" s="720"/>
      <c r="W681" s="720"/>
      <c r="X681" s="720"/>
      <c r="Y681" s="720"/>
      <c r="Z681" s="720"/>
      <c r="AA681" s="720"/>
      <c r="AB681" s="720"/>
    </row>
    <row r="682" spans="1:28" ht="12.75" customHeight="1">
      <c r="A682" s="902"/>
      <c r="B682" s="903"/>
      <c r="C682" s="720"/>
      <c r="D682" s="720"/>
      <c r="E682" s="720"/>
      <c r="F682" s="720"/>
      <c r="G682" s="906"/>
      <c r="H682" s="720"/>
      <c r="I682" s="720"/>
      <c r="J682" s="720"/>
      <c r="K682" s="907"/>
      <c r="L682" s="720"/>
      <c r="M682" s="720"/>
      <c r="N682" s="720"/>
      <c r="O682" s="720"/>
      <c r="P682" s="720"/>
      <c r="Q682" s="720"/>
      <c r="R682" s="720"/>
      <c r="S682" s="720"/>
      <c r="T682" s="720"/>
      <c r="U682" s="720"/>
      <c r="V682" s="720"/>
      <c r="W682" s="720"/>
      <c r="X682" s="720"/>
      <c r="Y682" s="720"/>
      <c r="Z682" s="720"/>
      <c r="AA682" s="720"/>
      <c r="AB682" s="720"/>
    </row>
    <row r="683" spans="1:28" ht="12.75" customHeight="1">
      <c r="A683" s="902"/>
      <c r="B683" s="903"/>
      <c r="C683" s="720"/>
      <c r="D683" s="720"/>
      <c r="E683" s="720"/>
      <c r="F683" s="720"/>
      <c r="G683" s="906"/>
      <c r="H683" s="720"/>
      <c r="I683" s="720"/>
      <c r="J683" s="720"/>
      <c r="K683" s="907"/>
      <c r="L683" s="720"/>
      <c r="M683" s="720"/>
      <c r="N683" s="720"/>
      <c r="O683" s="720"/>
      <c r="P683" s="720"/>
      <c r="Q683" s="720"/>
      <c r="R683" s="720"/>
      <c r="S683" s="720"/>
      <c r="T683" s="720"/>
      <c r="U683" s="720"/>
      <c r="V683" s="720"/>
      <c r="W683" s="720"/>
      <c r="X683" s="720"/>
      <c r="Y683" s="720"/>
      <c r="Z683" s="720"/>
      <c r="AA683" s="720"/>
      <c r="AB683" s="720"/>
    </row>
    <row r="684" spans="1:28" ht="12.75" customHeight="1">
      <c r="A684" s="902"/>
      <c r="B684" s="903"/>
      <c r="C684" s="720"/>
      <c r="D684" s="720"/>
      <c r="E684" s="720"/>
      <c r="F684" s="720"/>
      <c r="G684" s="906"/>
      <c r="H684" s="720"/>
      <c r="I684" s="720"/>
      <c r="J684" s="720"/>
      <c r="K684" s="907"/>
      <c r="L684" s="720"/>
      <c r="M684" s="720"/>
      <c r="N684" s="720"/>
      <c r="O684" s="720"/>
      <c r="P684" s="720"/>
      <c r="Q684" s="720"/>
      <c r="R684" s="720"/>
      <c r="S684" s="720"/>
      <c r="T684" s="720"/>
      <c r="U684" s="720"/>
      <c r="V684" s="720"/>
      <c r="W684" s="720"/>
      <c r="X684" s="720"/>
      <c r="Y684" s="720"/>
      <c r="Z684" s="720"/>
      <c r="AA684" s="720"/>
      <c r="AB684" s="720"/>
    </row>
    <row r="685" spans="1:28" ht="12.75" customHeight="1">
      <c r="A685" s="902"/>
      <c r="B685" s="903"/>
      <c r="C685" s="720"/>
      <c r="D685" s="720"/>
      <c r="E685" s="720"/>
      <c r="F685" s="720"/>
      <c r="G685" s="906"/>
      <c r="H685" s="720"/>
      <c r="I685" s="720"/>
      <c r="J685" s="720"/>
      <c r="K685" s="907"/>
      <c r="L685" s="720"/>
      <c r="M685" s="720"/>
      <c r="N685" s="720"/>
      <c r="O685" s="720"/>
      <c r="P685" s="720"/>
      <c r="Q685" s="720"/>
      <c r="R685" s="720"/>
      <c r="S685" s="720"/>
      <c r="T685" s="720"/>
      <c r="U685" s="720"/>
      <c r="V685" s="720"/>
      <c r="W685" s="720"/>
      <c r="X685" s="720"/>
      <c r="Y685" s="720"/>
      <c r="Z685" s="720"/>
      <c r="AA685" s="720"/>
      <c r="AB685" s="720"/>
    </row>
    <row r="686" spans="1:28" ht="12.75" customHeight="1">
      <c r="A686" s="902"/>
      <c r="B686" s="903"/>
      <c r="C686" s="720"/>
      <c r="D686" s="720"/>
      <c r="E686" s="720"/>
      <c r="F686" s="720"/>
      <c r="G686" s="906"/>
      <c r="H686" s="720"/>
      <c r="I686" s="720"/>
      <c r="J686" s="720"/>
      <c r="K686" s="907"/>
      <c r="L686" s="720"/>
      <c r="M686" s="720"/>
      <c r="N686" s="720"/>
      <c r="O686" s="720"/>
      <c r="P686" s="720"/>
      <c r="Q686" s="720"/>
      <c r="R686" s="720"/>
      <c r="S686" s="720"/>
      <c r="T686" s="720"/>
      <c r="U686" s="720"/>
      <c r="V686" s="720"/>
      <c r="W686" s="720"/>
      <c r="X686" s="720"/>
      <c r="Y686" s="720"/>
      <c r="Z686" s="720"/>
      <c r="AA686" s="720"/>
      <c r="AB686" s="720"/>
    </row>
    <row r="687" spans="1:28" ht="12.75" customHeight="1">
      <c r="A687" s="902"/>
      <c r="B687" s="903"/>
      <c r="C687" s="720"/>
      <c r="D687" s="720"/>
      <c r="E687" s="720"/>
      <c r="F687" s="720"/>
      <c r="G687" s="906"/>
      <c r="H687" s="720"/>
      <c r="I687" s="720"/>
      <c r="J687" s="720"/>
      <c r="K687" s="907"/>
      <c r="L687" s="720"/>
      <c r="M687" s="720"/>
      <c r="N687" s="720"/>
      <c r="O687" s="720"/>
      <c r="P687" s="720"/>
      <c r="Q687" s="720"/>
      <c r="R687" s="720"/>
      <c r="S687" s="720"/>
      <c r="T687" s="720"/>
      <c r="U687" s="720"/>
      <c r="V687" s="720"/>
      <c r="W687" s="720"/>
      <c r="X687" s="720"/>
      <c r="Y687" s="720"/>
      <c r="Z687" s="720"/>
      <c r="AA687" s="720"/>
      <c r="AB687" s="720"/>
    </row>
    <row r="688" spans="1:28" ht="12.75" customHeight="1">
      <c r="A688" s="902"/>
      <c r="B688" s="903"/>
      <c r="C688" s="720"/>
      <c r="D688" s="720"/>
      <c r="E688" s="720"/>
      <c r="F688" s="720"/>
      <c r="G688" s="906"/>
      <c r="H688" s="720"/>
      <c r="I688" s="720"/>
      <c r="J688" s="720"/>
      <c r="K688" s="907"/>
      <c r="L688" s="720"/>
      <c r="M688" s="720"/>
      <c r="N688" s="720"/>
      <c r="O688" s="720"/>
      <c r="P688" s="720"/>
      <c r="Q688" s="720"/>
      <c r="R688" s="720"/>
      <c r="S688" s="720"/>
      <c r="T688" s="720"/>
      <c r="U688" s="720"/>
      <c r="V688" s="720"/>
      <c r="W688" s="720"/>
      <c r="X688" s="720"/>
      <c r="Y688" s="720"/>
      <c r="Z688" s="720"/>
      <c r="AA688" s="720"/>
      <c r="AB688" s="720"/>
    </row>
    <row r="689" spans="1:28" ht="12.75" customHeight="1">
      <c r="A689" s="902"/>
      <c r="B689" s="903"/>
      <c r="C689" s="720"/>
      <c r="D689" s="720"/>
      <c r="E689" s="720"/>
      <c r="F689" s="720"/>
      <c r="G689" s="906"/>
      <c r="H689" s="720"/>
      <c r="I689" s="720"/>
      <c r="J689" s="720"/>
      <c r="K689" s="907"/>
      <c r="L689" s="720"/>
      <c r="M689" s="720"/>
      <c r="N689" s="720"/>
      <c r="O689" s="720"/>
      <c r="P689" s="720"/>
      <c r="Q689" s="720"/>
      <c r="R689" s="720"/>
      <c r="S689" s="720"/>
      <c r="T689" s="720"/>
      <c r="U689" s="720"/>
      <c r="V689" s="720"/>
      <c r="W689" s="720"/>
      <c r="X689" s="720"/>
      <c r="Y689" s="720"/>
      <c r="Z689" s="720"/>
      <c r="AA689" s="720"/>
      <c r="AB689" s="720"/>
    </row>
    <row r="690" spans="1:28" ht="12.75" customHeight="1">
      <c r="A690" s="902"/>
      <c r="B690" s="903"/>
      <c r="C690" s="720"/>
      <c r="D690" s="720"/>
      <c r="E690" s="720"/>
      <c r="F690" s="720"/>
      <c r="G690" s="906"/>
      <c r="H690" s="720"/>
      <c r="I690" s="720"/>
      <c r="J690" s="720"/>
      <c r="K690" s="907"/>
      <c r="L690" s="720"/>
      <c r="M690" s="720"/>
      <c r="N690" s="720"/>
      <c r="O690" s="720"/>
      <c r="P690" s="720"/>
      <c r="Q690" s="720"/>
      <c r="R690" s="720"/>
      <c r="S690" s="720"/>
      <c r="T690" s="720"/>
      <c r="U690" s="720"/>
      <c r="V690" s="720"/>
      <c r="W690" s="720"/>
      <c r="X690" s="720"/>
      <c r="Y690" s="720"/>
      <c r="Z690" s="720"/>
      <c r="AA690" s="720"/>
      <c r="AB690" s="720"/>
    </row>
    <row r="691" spans="1:28" ht="12.75" customHeight="1">
      <c r="A691" s="902"/>
      <c r="B691" s="903"/>
      <c r="C691" s="720"/>
      <c r="D691" s="720"/>
      <c r="E691" s="720"/>
      <c r="F691" s="720"/>
      <c r="G691" s="906"/>
      <c r="H691" s="720"/>
      <c r="I691" s="720"/>
      <c r="J691" s="720"/>
      <c r="K691" s="907"/>
      <c r="L691" s="720"/>
      <c r="M691" s="720"/>
      <c r="N691" s="720"/>
      <c r="O691" s="720"/>
      <c r="P691" s="720"/>
      <c r="Q691" s="720"/>
      <c r="R691" s="720"/>
      <c r="S691" s="720"/>
      <c r="T691" s="720"/>
      <c r="U691" s="720"/>
      <c r="V691" s="720"/>
      <c r="W691" s="720"/>
      <c r="X691" s="720"/>
      <c r="Y691" s="720"/>
      <c r="Z691" s="720"/>
      <c r="AA691" s="720"/>
      <c r="AB691" s="720"/>
    </row>
    <row r="692" spans="1:28" ht="12.75" customHeight="1">
      <c r="A692" s="902"/>
      <c r="B692" s="903"/>
      <c r="C692" s="720"/>
      <c r="D692" s="720"/>
      <c r="E692" s="720"/>
      <c r="F692" s="720"/>
      <c r="G692" s="906"/>
      <c r="H692" s="720"/>
      <c r="I692" s="720"/>
      <c r="J692" s="720"/>
      <c r="K692" s="907"/>
      <c r="L692" s="720"/>
      <c r="M692" s="720"/>
      <c r="N692" s="720"/>
      <c r="O692" s="720"/>
      <c r="P692" s="720"/>
      <c r="Q692" s="720"/>
      <c r="R692" s="720"/>
      <c r="S692" s="720"/>
      <c r="T692" s="720"/>
      <c r="U692" s="720"/>
      <c r="V692" s="720"/>
      <c r="W692" s="720"/>
      <c r="X692" s="720"/>
      <c r="Y692" s="720"/>
      <c r="Z692" s="720"/>
      <c r="AA692" s="720"/>
      <c r="AB692" s="720"/>
    </row>
    <row r="693" spans="1:28" ht="12.75" customHeight="1">
      <c r="A693" s="902"/>
      <c r="B693" s="903"/>
      <c r="C693" s="720"/>
      <c r="D693" s="720"/>
      <c r="E693" s="720"/>
      <c r="F693" s="720"/>
      <c r="G693" s="906"/>
      <c r="H693" s="720"/>
      <c r="I693" s="720"/>
      <c r="J693" s="720"/>
      <c r="K693" s="907"/>
      <c r="L693" s="720"/>
      <c r="M693" s="720"/>
      <c r="N693" s="720"/>
      <c r="O693" s="720"/>
      <c r="P693" s="720"/>
      <c r="Q693" s="720"/>
      <c r="R693" s="720"/>
      <c r="S693" s="720"/>
      <c r="T693" s="720"/>
      <c r="U693" s="720"/>
      <c r="V693" s="720"/>
      <c r="W693" s="720"/>
      <c r="X693" s="720"/>
      <c r="Y693" s="720"/>
      <c r="Z693" s="720"/>
      <c r="AA693" s="720"/>
      <c r="AB693" s="720"/>
    </row>
    <row r="694" spans="1:28" ht="12.75" customHeight="1">
      <c r="A694" s="902"/>
      <c r="B694" s="903"/>
      <c r="C694" s="720"/>
      <c r="D694" s="720"/>
      <c r="E694" s="720"/>
      <c r="F694" s="720"/>
      <c r="G694" s="906"/>
      <c r="H694" s="720"/>
      <c r="I694" s="720"/>
      <c r="J694" s="720"/>
      <c r="K694" s="907"/>
      <c r="L694" s="720"/>
      <c r="M694" s="720"/>
      <c r="N694" s="720"/>
      <c r="O694" s="720"/>
      <c r="P694" s="720"/>
      <c r="Q694" s="720"/>
      <c r="R694" s="720"/>
      <c r="S694" s="720"/>
      <c r="T694" s="720"/>
      <c r="U694" s="720"/>
      <c r="V694" s="720"/>
      <c r="W694" s="720"/>
      <c r="X694" s="720"/>
      <c r="Y694" s="720"/>
      <c r="Z694" s="720"/>
      <c r="AA694" s="720"/>
      <c r="AB694" s="720"/>
    </row>
    <row r="695" spans="1:28" ht="12.75" customHeight="1">
      <c r="A695" s="902"/>
      <c r="B695" s="903"/>
      <c r="C695" s="720"/>
      <c r="D695" s="720"/>
      <c r="E695" s="720"/>
      <c r="F695" s="720"/>
      <c r="G695" s="906"/>
      <c r="H695" s="720"/>
      <c r="I695" s="720"/>
      <c r="J695" s="720"/>
      <c r="K695" s="907"/>
      <c r="L695" s="720"/>
      <c r="M695" s="720"/>
      <c r="N695" s="720"/>
      <c r="O695" s="720"/>
      <c r="P695" s="720"/>
      <c r="Q695" s="720"/>
      <c r="R695" s="720"/>
      <c r="S695" s="720"/>
      <c r="T695" s="720"/>
      <c r="U695" s="720"/>
      <c r="V695" s="720"/>
      <c r="W695" s="720"/>
      <c r="X695" s="720"/>
      <c r="Y695" s="720"/>
      <c r="Z695" s="720"/>
      <c r="AA695" s="720"/>
      <c r="AB695" s="720"/>
    </row>
    <row r="696" spans="1:28" ht="12.75" customHeight="1">
      <c r="A696" s="902"/>
      <c r="B696" s="903"/>
      <c r="C696" s="720"/>
      <c r="D696" s="720"/>
      <c r="E696" s="720"/>
      <c r="F696" s="720"/>
      <c r="G696" s="906"/>
      <c r="H696" s="720"/>
      <c r="I696" s="720"/>
      <c r="J696" s="720"/>
      <c r="K696" s="907"/>
      <c r="L696" s="720"/>
      <c r="M696" s="720"/>
      <c r="N696" s="720"/>
      <c r="O696" s="720"/>
      <c r="P696" s="720"/>
      <c r="Q696" s="720"/>
      <c r="R696" s="720"/>
      <c r="S696" s="720"/>
      <c r="T696" s="720"/>
      <c r="U696" s="720"/>
      <c r="V696" s="720"/>
      <c r="W696" s="720"/>
      <c r="X696" s="720"/>
      <c r="Y696" s="720"/>
      <c r="Z696" s="720"/>
      <c r="AA696" s="720"/>
      <c r="AB696" s="720"/>
    </row>
    <row r="697" spans="1:28" ht="12.75" customHeight="1">
      <c r="A697" s="902"/>
      <c r="B697" s="903"/>
      <c r="C697" s="720"/>
      <c r="D697" s="720"/>
      <c r="E697" s="720"/>
      <c r="F697" s="720"/>
      <c r="G697" s="906"/>
      <c r="H697" s="720"/>
      <c r="I697" s="720"/>
      <c r="J697" s="720"/>
      <c r="K697" s="907"/>
      <c r="L697" s="720"/>
      <c r="M697" s="720"/>
      <c r="N697" s="720"/>
      <c r="O697" s="720"/>
      <c r="P697" s="720"/>
      <c r="Q697" s="720"/>
      <c r="R697" s="720"/>
      <c r="S697" s="720"/>
      <c r="T697" s="720"/>
      <c r="U697" s="720"/>
      <c r="V697" s="720"/>
      <c r="W697" s="720"/>
      <c r="X697" s="720"/>
      <c r="Y697" s="720"/>
      <c r="Z697" s="720"/>
      <c r="AA697" s="720"/>
      <c r="AB697" s="720"/>
    </row>
    <row r="698" spans="1:28" ht="12.75" customHeight="1">
      <c r="A698" s="902"/>
      <c r="B698" s="903"/>
      <c r="C698" s="720"/>
      <c r="D698" s="720"/>
      <c r="E698" s="720"/>
      <c r="F698" s="720"/>
      <c r="G698" s="906"/>
      <c r="H698" s="720"/>
      <c r="I698" s="720"/>
      <c r="J698" s="720"/>
      <c r="K698" s="907"/>
      <c r="L698" s="720"/>
      <c r="M698" s="720"/>
      <c r="N698" s="720"/>
      <c r="O698" s="720"/>
      <c r="P698" s="720"/>
      <c r="Q698" s="720"/>
      <c r="R698" s="720"/>
      <c r="S698" s="720"/>
      <c r="T698" s="720"/>
      <c r="U698" s="720"/>
      <c r="V698" s="720"/>
      <c r="W698" s="720"/>
      <c r="X698" s="720"/>
      <c r="Y698" s="720"/>
      <c r="Z698" s="720"/>
      <c r="AA698" s="720"/>
      <c r="AB698" s="720"/>
    </row>
    <row r="699" spans="1:28" ht="12.75" customHeight="1">
      <c r="A699" s="902"/>
      <c r="B699" s="903"/>
      <c r="C699" s="720"/>
      <c r="D699" s="720"/>
      <c r="E699" s="720"/>
      <c r="F699" s="720"/>
      <c r="G699" s="906"/>
      <c r="H699" s="720"/>
      <c r="I699" s="720"/>
      <c r="J699" s="720"/>
      <c r="K699" s="907"/>
      <c r="L699" s="720"/>
      <c r="M699" s="720"/>
      <c r="N699" s="720"/>
      <c r="O699" s="720"/>
      <c r="P699" s="720"/>
      <c r="Q699" s="720"/>
      <c r="R699" s="720"/>
      <c r="S699" s="720"/>
      <c r="T699" s="720"/>
      <c r="U699" s="720"/>
      <c r="V699" s="720"/>
      <c r="W699" s="720"/>
      <c r="X699" s="720"/>
      <c r="Y699" s="720"/>
      <c r="Z699" s="720"/>
      <c r="AA699" s="720"/>
      <c r="AB699" s="720"/>
    </row>
    <row r="700" spans="1:28" ht="12.75" customHeight="1">
      <c r="A700" s="902"/>
      <c r="B700" s="903"/>
      <c r="C700" s="720"/>
      <c r="D700" s="720"/>
      <c r="E700" s="720"/>
      <c r="F700" s="720"/>
      <c r="G700" s="906"/>
      <c r="H700" s="720"/>
      <c r="I700" s="720"/>
      <c r="J700" s="720"/>
      <c r="K700" s="907"/>
      <c r="L700" s="720"/>
      <c r="M700" s="720"/>
      <c r="N700" s="720"/>
      <c r="O700" s="720"/>
      <c r="P700" s="720"/>
      <c r="Q700" s="720"/>
      <c r="R700" s="720"/>
      <c r="S700" s="720"/>
      <c r="T700" s="720"/>
      <c r="U700" s="720"/>
      <c r="V700" s="720"/>
      <c r="W700" s="720"/>
      <c r="X700" s="720"/>
      <c r="Y700" s="720"/>
      <c r="Z700" s="720"/>
      <c r="AA700" s="720"/>
      <c r="AB700" s="720"/>
    </row>
    <row r="701" spans="1:28" ht="12.75" customHeight="1">
      <c r="A701" s="902"/>
      <c r="B701" s="903"/>
      <c r="C701" s="720"/>
      <c r="D701" s="720"/>
      <c r="E701" s="720"/>
      <c r="F701" s="720"/>
      <c r="G701" s="906"/>
      <c r="H701" s="720"/>
      <c r="I701" s="720"/>
      <c r="J701" s="720"/>
      <c r="K701" s="907"/>
      <c r="L701" s="720"/>
      <c r="M701" s="720"/>
      <c r="N701" s="720"/>
      <c r="O701" s="720"/>
      <c r="P701" s="720"/>
      <c r="Q701" s="720"/>
      <c r="R701" s="720"/>
      <c r="S701" s="720"/>
      <c r="T701" s="720"/>
      <c r="U701" s="720"/>
      <c r="V701" s="720"/>
      <c r="W701" s="720"/>
      <c r="X701" s="720"/>
      <c r="Y701" s="720"/>
      <c r="Z701" s="720"/>
      <c r="AA701" s="720"/>
      <c r="AB701" s="720"/>
    </row>
    <row r="702" spans="1:28" ht="12.75" customHeight="1">
      <c r="A702" s="902"/>
      <c r="B702" s="903"/>
      <c r="C702" s="720"/>
      <c r="D702" s="720"/>
      <c r="E702" s="720"/>
      <c r="F702" s="720"/>
      <c r="G702" s="906"/>
      <c r="H702" s="720"/>
      <c r="I702" s="720"/>
      <c r="J702" s="720"/>
      <c r="K702" s="907"/>
      <c r="L702" s="720"/>
      <c r="M702" s="720"/>
      <c r="N702" s="720"/>
      <c r="O702" s="720"/>
      <c r="P702" s="720"/>
      <c r="Q702" s="720"/>
      <c r="R702" s="720"/>
      <c r="S702" s="720"/>
      <c r="T702" s="720"/>
      <c r="U702" s="720"/>
      <c r="V702" s="720"/>
      <c r="W702" s="720"/>
      <c r="X702" s="720"/>
      <c r="Y702" s="720"/>
      <c r="Z702" s="720"/>
      <c r="AA702" s="720"/>
      <c r="AB702" s="720"/>
    </row>
    <row r="703" spans="1:28" ht="12.75" customHeight="1">
      <c r="A703" s="902"/>
      <c r="B703" s="903"/>
      <c r="C703" s="720"/>
      <c r="D703" s="720"/>
      <c r="E703" s="720"/>
      <c r="F703" s="720"/>
      <c r="G703" s="906"/>
      <c r="H703" s="720"/>
      <c r="I703" s="720"/>
      <c r="J703" s="720"/>
      <c r="K703" s="907"/>
      <c r="L703" s="720"/>
      <c r="M703" s="720"/>
      <c r="N703" s="720"/>
      <c r="O703" s="720"/>
      <c r="P703" s="720"/>
      <c r="Q703" s="720"/>
      <c r="R703" s="720"/>
      <c r="S703" s="720"/>
      <c r="T703" s="720"/>
      <c r="U703" s="720"/>
      <c r="V703" s="720"/>
      <c r="W703" s="720"/>
      <c r="X703" s="720"/>
      <c r="Y703" s="720"/>
      <c r="Z703" s="720"/>
      <c r="AA703" s="720"/>
      <c r="AB703" s="720"/>
    </row>
    <row r="704" spans="1:28" ht="12.75" customHeight="1">
      <c r="A704" s="902"/>
      <c r="B704" s="903"/>
      <c r="C704" s="720"/>
      <c r="D704" s="720"/>
      <c r="E704" s="720"/>
      <c r="F704" s="720"/>
      <c r="G704" s="906"/>
      <c r="H704" s="720"/>
      <c r="I704" s="720"/>
      <c r="J704" s="720"/>
      <c r="K704" s="907"/>
      <c r="L704" s="720"/>
      <c r="M704" s="720"/>
      <c r="N704" s="720"/>
      <c r="O704" s="720"/>
      <c r="P704" s="720"/>
      <c r="Q704" s="720"/>
      <c r="R704" s="720"/>
      <c r="S704" s="720"/>
      <c r="T704" s="720"/>
      <c r="U704" s="720"/>
      <c r="V704" s="720"/>
      <c r="W704" s="720"/>
      <c r="X704" s="720"/>
      <c r="Y704" s="720"/>
      <c r="Z704" s="720"/>
      <c r="AA704" s="720"/>
      <c r="AB704" s="720"/>
    </row>
    <row r="705" spans="1:28" ht="12.75" customHeight="1">
      <c r="A705" s="902"/>
      <c r="B705" s="903"/>
      <c r="C705" s="720"/>
      <c r="D705" s="720"/>
      <c r="E705" s="720"/>
      <c r="F705" s="720"/>
      <c r="G705" s="906"/>
      <c r="H705" s="720"/>
      <c r="I705" s="720"/>
      <c r="J705" s="720"/>
      <c r="K705" s="907"/>
      <c r="L705" s="720"/>
      <c r="M705" s="720"/>
      <c r="N705" s="720"/>
      <c r="O705" s="720"/>
      <c r="P705" s="720"/>
      <c r="Q705" s="720"/>
      <c r="R705" s="720"/>
      <c r="S705" s="720"/>
      <c r="T705" s="720"/>
      <c r="U705" s="720"/>
      <c r="V705" s="720"/>
      <c r="W705" s="720"/>
      <c r="X705" s="720"/>
      <c r="Y705" s="720"/>
      <c r="Z705" s="720"/>
      <c r="AA705" s="720"/>
      <c r="AB705" s="720"/>
    </row>
    <row r="706" spans="1:28" ht="12.75" customHeight="1">
      <c r="A706" s="902"/>
      <c r="B706" s="903"/>
      <c r="C706" s="720"/>
      <c r="D706" s="720"/>
      <c r="E706" s="720"/>
      <c r="F706" s="720"/>
      <c r="G706" s="906"/>
      <c r="H706" s="720"/>
      <c r="I706" s="720"/>
      <c r="J706" s="720"/>
      <c r="K706" s="907"/>
      <c r="L706" s="720"/>
      <c r="M706" s="720"/>
      <c r="N706" s="720"/>
      <c r="O706" s="720"/>
      <c r="P706" s="720"/>
      <c r="Q706" s="720"/>
      <c r="R706" s="720"/>
      <c r="S706" s="720"/>
      <c r="T706" s="720"/>
      <c r="U706" s="720"/>
      <c r="V706" s="720"/>
      <c r="W706" s="720"/>
      <c r="X706" s="720"/>
      <c r="Y706" s="720"/>
      <c r="Z706" s="720"/>
      <c r="AA706" s="720"/>
      <c r="AB706" s="720"/>
    </row>
    <row r="707" spans="1:28" ht="12.75" customHeight="1">
      <c r="A707" s="902"/>
      <c r="B707" s="903"/>
      <c r="C707" s="720"/>
      <c r="D707" s="720"/>
      <c r="E707" s="720"/>
      <c r="F707" s="720"/>
      <c r="G707" s="906"/>
      <c r="H707" s="720"/>
      <c r="I707" s="720"/>
      <c r="J707" s="720"/>
      <c r="K707" s="907"/>
      <c r="L707" s="720"/>
      <c r="M707" s="720"/>
      <c r="N707" s="720"/>
      <c r="O707" s="720"/>
      <c r="P707" s="720"/>
      <c r="Q707" s="720"/>
      <c r="R707" s="720"/>
      <c r="S707" s="720"/>
      <c r="T707" s="720"/>
      <c r="U707" s="720"/>
      <c r="V707" s="720"/>
      <c r="W707" s="720"/>
      <c r="X707" s="720"/>
      <c r="Y707" s="720"/>
      <c r="Z707" s="720"/>
      <c r="AA707" s="720"/>
      <c r="AB707" s="720"/>
    </row>
    <row r="708" spans="1:28" ht="12.75" customHeight="1">
      <c r="A708" s="902"/>
      <c r="B708" s="903"/>
      <c r="C708" s="720"/>
      <c r="D708" s="720"/>
      <c r="E708" s="720"/>
      <c r="F708" s="720"/>
      <c r="G708" s="906"/>
      <c r="H708" s="720"/>
      <c r="I708" s="720"/>
      <c r="J708" s="720"/>
      <c r="K708" s="907"/>
      <c r="L708" s="720"/>
      <c r="M708" s="720"/>
      <c r="N708" s="720"/>
      <c r="O708" s="720"/>
      <c r="P708" s="720"/>
      <c r="Q708" s="720"/>
      <c r="R708" s="720"/>
      <c r="S708" s="720"/>
      <c r="T708" s="720"/>
      <c r="U708" s="720"/>
      <c r="V708" s="720"/>
      <c r="W708" s="720"/>
      <c r="X708" s="720"/>
      <c r="Y708" s="720"/>
      <c r="Z708" s="720"/>
      <c r="AA708" s="720"/>
      <c r="AB708" s="720"/>
    </row>
    <row r="709" spans="1:28" ht="12.75" customHeight="1">
      <c r="A709" s="902"/>
      <c r="B709" s="903"/>
      <c r="C709" s="720"/>
      <c r="D709" s="720"/>
      <c r="E709" s="720"/>
      <c r="F709" s="720"/>
      <c r="G709" s="906"/>
      <c r="H709" s="720"/>
      <c r="I709" s="720"/>
      <c r="J709" s="720"/>
      <c r="K709" s="907"/>
      <c r="L709" s="720"/>
      <c r="M709" s="720"/>
      <c r="N709" s="720"/>
      <c r="O709" s="720"/>
      <c r="P709" s="720"/>
      <c r="Q709" s="720"/>
      <c r="R709" s="720"/>
      <c r="S709" s="720"/>
      <c r="T709" s="720"/>
      <c r="U709" s="720"/>
      <c r="V709" s="720"/>
      <c r="W709" s="720"/>
      <c r="X709" s="720"/>
      <c r="Y709" s="720"/>
      <c r="Z709" s="720"/>
      <c r="AA709" s="720"/>
      <c r="AB709" s="720"/>
    </row>
    <row r="710" spans="1:28" ht="12.75" customHeight="1">
      <c r="A710" s="902"/>
      <c r="B710" s="903"/>
      <c r="C710" s="720"/>
      <c r="D710" s="720"/>
      <c r="E710" s="720"/>
      <c r="F710" s="720"/>
      <c r="G710" s="906"/>
      <c r="H710" s="720"/>
      <c r="I710" s="720"/>
      <c r="J710" s="720"/>
      <c r="K710" s="907"/>
      <c r="L710" s="720"/>
      <c r="M710" s="720"/>
      <c r="N710" s="720"/>
      <c r="O710" s="720"/>
      <c r="P710" s="720"/>
      <c r="Q710" s="720"/>
      <c r="R710" s="720"/>
      <c r="S710" s="720"/>
      <c r="T710" s="720"/>
      <c r="U710" s="720"/>
      <c r="V710" s="720"/>
      <c r="W710" s="720"/>
      <c r="X710" s="720"/>
      <c r="Y710" s="720"/>
      <c r="Z710" s="720"/>
      <c r="AA710" s="720"/>
      <c r="AB710" s="720"/>
    </row>
    <row r="711" spans="1:28" ht="12.75" customHeight="1">
      <c r="A711" s="902"/>
      <c r="B711" s="903"/>
      <c r="C711" s="720"/>
      <c r="D711" s="720"/>
      <c r="E711" s="720"/>
      <c r="F711" s="720"/>
      <c r="G711" s="906"/>
      <c r="H711" s="720"/>
      <c r="I711" s="720"/>
      <c r="J711" s="720"/>
      <c r="K711" s="907"/>
      <c r="L711" s="720"/>
      <c r="M711" s="720"/>
      <c r="N711" s="720"/>
      <c r="O711" s="720"/>
      <c r="P711" s="720"/>
      <c r="Q711" s="720"/>
      <c r="R711" s="720"/>
      <c r="S711" s="720"/>
      <c r="T711" s="720"/>
      <c r="U711" s="720"/>
      <c r="V711" s="720"/>
      <c r="W711" s="720"/>
      <c r="X711" s="720"/>
      <c r="Y711" s="720"/>
      <c r="Z711" s="720"/>
      <c r="AA711" s="720"/>
      <c r="AB711" s="720"/>
    </row>
    <row r="712" spans="1:28" ht="12.75" customHeight="1">
      <c r="A712" s="902"/>
      <c r="B712" s="903"/>
      <c r="C712" s="720"/>
      <c r="D712" s="720"/>
      <c r="E712" s="720"/>
      <c r="F712" s="720"/>
      <c r="G712" s="906"/>
      <c r="H712" s="720"/>
      <c r="I712" s="720"/>
      <c r="J712" s="720"/>
      <c r="K712" s="907"/>
      <c r="L712" s="720"/>
      <c r="M712" s="720"/>
      <c r="N712" s="720"/>
      <c r="O712" s="720"/>
      <c r="P712" s="720"/>
      <c r="Q712" s="720"/>
      <c r="R712" s="720"/>
      <c r="S712" s="720"/>
      <c r="T712" s="720"/>
      <c r="U712" s="720"/>
      <c r="V712" s="720"/>
      <c r="W712" s="720"/>
      <c r="X712" s="720"/>
      <c r="Y712" s="720"/>
      <c r="Z712" s="720"/>
      <c r="AA712" s="720"/>
      <c r="AB712" s="720"/>
    </row>
    <row r="713" spans="1:28" ht="12.75" customHeight="1">
      <c r="A713" s="902"/>
      <c r="B713" s="903"/>
      <c r="C713" s="720"/>
      <c r="D713" s="720"/>
      <c r="E713" s="720"/>
      <c r="F713" s="720"/>
      <c r="G713" s="906"/>
      <c r="H713" s="720"/>
      <c r="I713" s="720"/>
      <c r="J713" s="720"/>
      <c r="K713" s="907"/>
      <c r="L713" s="720"/>
      <c r="M713" s="720"/>
      <c r="N713" s="720"/>
      <c r="O713" s="720"/>
      <c r="P713" s="720"/>
      <c r="Q713" s="720"/>
      <c r="R713" s="720"/>
      <c r="S713" s="720"/>
      <c r="T713" s="720"/>
      <c r="U713" s="720"/>
      <c r="V713" s="720"/>
      <c r="W713" s="720"/>
      <c r="X713" s="720"/>
      <c r="Y713" s="720"/>
      <c r="Z713" s="720"/>
      <c r="AA713" s="720"/>
      <c r="AB713" s="720"/>
    </row>
    <row r="714" spans="1:28" ht="12.75" customHeight="1">
      <c r="A714" s="902"/>
      <c r="B714" s="903"/>
      <c r="C714" s="720"/>
      <c r="D714" s="720"/>
      <c r="E714" s="720"/>
      <c r="F714" s="720"/>
      <c r="G714" s="906"/>
      <c r="H714" s="720"/>
      <c r="I714" s="720"/>
      <c r="J714" s="720"/>
      <c r="K714" s="907"/>
      <c r="L714" s="720"/>
      <c r="M714" s="720"/>
      <c r="N714" s="720"/>
      <c r="O714" s="720"/>
      <c r="P714" s="720"/>
      <c r="Q714" s="720"/>
      <c r="R714" s="720"/>
      <c r="S714" s="720"/>
      <c r="T714" s="720"/>
      <c r="U714" s="720"/>
      <c r="V714" s="720"/>
      <c r="W714" s="720"/>
      <c r="X714" s="720"/>
      <c r="Y714" s="720"/>
      <c r="Z714" s="720"/>
      <c r="AA714" s="720"/>
      <c r="AB714" s="720"/>
    </row>
    <row r="715" spans="1:28" ht="12.75" customHeight="1">
      <c r="A715" s="902"/>
      <c r="B715" s="903"/>
      <c r="C715" s="720"/>
      <c r="D715" s="720"/>
      <c r="E715" s="720"/>
      <c r="F715" s="720"/>
      <c r="G715" s="906"/>
      <c r="H715" s="720"/>
      <c r="I715" s="720"/>
      <c r="J715" s="720"/>
      <c r="K715" s="907"/>
      <c r="L715" s="720"/>
      <c r="M715" s="720"/>
      <c r="N715" s="720"/>
      <c r="O715" s="720"/>
      <c r="P715" s="720"/>
      <c r="Q715" s="720"/>
      <c r="R715" s="720"/>
      <c r="S715" s="720"/>
      <c r="T715" s="720"/>
      <c r="U715" s="720"/>
      <c r="V715" s="720"/>
      <c r="W715" s="720"/>
      <c r="X715" s="720"/>
      <c r="Y715" s="720"/>
      <c r="Z715" s="720"/>
      <c r="AA715" s="720"/>
      <c r="AB715" s="720"/>
    </row>
    <row r="716" spans="1:28" ht="12.75" customHeight="1">
      <c r="A716" s="902"/>
      <c r="B716" s="903"/>
      <c r="C716" s="720"/>
      <c r="D716" s="720"/>
      <c r="E716" s="720"/>
      <c r="F716" s="720"/>
      <c r="G716" s="906"/>
      <c r="H716" s="720"/>
      <c r="I716" s="720"/>
      <c r="J716" s="720"/>
      <c r="K716" s="907"/>
      <c r="L716" s="720"/>
      <c r="M716" s="720"/>
      <c r="N716" s="720"/>
      <c r="O716" s="720"/>
      <c r="P716" s="720"/>
      <c r="Q716" s="720"/>
      <c r="R716" s="720"/>
      <c r="S716" s="720"/>
      <c r="T716" s="720"/>
      <c r="U716" s="720"/>
      <c r="V716" s="720"/>
      <c r="W716" s="720"/>
      <c r="X716" s="720"/>
      <c r="Y716" s="720"/>
      <c r="Z716" s="720"/>
      <c r="AA716" s="720"/>
      <c r="AB716" s="720"/>
    </row>
    <row r="717" spans="1:28" ht="12.75" customHeight="1">
      <c r="A717" s="902"/>
      <c r="B717" s="903"/>
      <c r="C717" s="720"/>
      <c r="D717" s="720"/>
      <c r="E717" s="720"/>
      <c r="F717" s="720"/>
      <c r="G717" s="906"/>
      <c r="H717" s="720"/>
      <c r="I717" s="720"/>
      <c r="J717" s="720"/>
      <c r="K717" s="907"/>
      <c r="L717" s="720"/>
      <c r="M717" s="720"/>
      <c r="N717" s="720"/>
      <c r="O717" s="720"/>
      <c r="P717" s="720"/>
      <c r="Q717" s="720"/>
      <c r="R717" s="720"/>
      <c r="S717" s="720"/>
      <c r="T717" s="720"/>
      <c r="U717" s="720"/>
      <c r="V717" s="720"/>
      <c r="W717" s="720"/>
      <c r="X717" s="720"/>
      <c r="Y717" s="720"/>
      <c r="Z717" s="720"/>
      <c r="AA717" s="720"/>
      <c r="AB717" s="720"/>
    </row>
    <row r="718" spans="1:28" ht="12.75" customHeight="1">
      <c r="A718" s="902"/>
      <c r="B718" s="903"/>
      <c r="C718" s="720"/>
      <c r="D718" s="720"/>
      <c r="E718" s="720"/>
      <c r="F718" s="720"/>
      <c r="G718" s="906"/>
      <c r="H718" s="720"/>
      <c r="I718" s="720"/>
      <c r="J718" s="720"/>
      <c r="K718" s="907"/>
      <c r="L718" s="720"/>
      <c r="M718" s="720"/>
      <c r="N718" s="720"/>
      <c r="O718" s="720"/>
      <c r="P718" s="720"/>
      <c r="Q718" s="720"/>
      <c r="R718" s="720"/>
      <c r="S718" s="720"/>
      <c r="T718" s="720"/>
      <c r="U718" s="720"/>
      <c r="V718" s="720"/>
      <c r="W718" s="720"/>
      <c r="X718" s="720"/>
      <c r="Y718" s="720"/>
      <c r="Z718" s="720"/>
      <c r="AA718" s="720"/>
      <c r="AB718" s="720"/>
    </row>
    <row r="719" spans="1:28" ht="12.75" customHeight="1">
      <c r="A719" s="902"/>
      <c r="B719" s="903"/>
      <c r="C719" s="720"/>
      <c r="D719" s="720"/>
      <c r="E719" s="720"/>
      <c r="F719" s="720"/>
      <c r="G719" s="906"/>
      <c r="H719" s="720"/>
      <c r="I719" s="720"/>
      <c r="J719" s="720"/>
      <c r="K719" s="907"/>
      <c r="L719" s="720"/>
      <c r="M719" s="720"/>
      <c r="N719" s="720"/>
      <c r="O719" s="720"/>
      <c r="P719" s="720"/>
      <c r="Q719" s="720"/>
      <c r="R719" s="720"/>
      <c r="S719" s="720"/>
      <c r="T719" s="720"/>
      <c r="U719" s="720"/>
      <c r="V719" s="720"/>
      <c r="W719" s="720"/>
      <c r="X719" s="720"/>
      <c r="Y719" s="720"/>
      <c r="Z719" s="720"/>
      <c r="AA719" s="720"/>
      <c r="AB719" s="720"/>
    </row>
    <row r="720" spans="1:28" ht="12.75" customHeight="1">
      <c r="A720" s="902"/>
      <c r="B720" s="903"/>
      <c r="C720" s="720"/>
      <c r="D720" s="720"/>
      <c r="E720" s="720"/>
      <c r="F720" s="720"/>
      <c r="G720" s="906"/>
      <c r="H720" s="720"/>
      <c r="I720" s="720"/>
      <c r="J720" s="720"/>
      <c r="K720" s="907"/>
      <c r="L720" s="720"/>
      <c r="M720" s="720"/>
      <c r="N720" s="720"/>
      <c r="O720" s="720"/>
      <c r="P720" s="720"/>
      <c r="Q720" s="720"/>
      <c r="R720" s="720"/>
      <c r="S720" s="720"/>
      <c r="T720" s="720"/>
      <c r="U720" s="720"/>
      <c r="V720" s="720"/>
      <c r="W720" s="720"/>
      <c r="X720" s="720"/>
      <c r="Y720" s="720"/>
      <c r="Z720" s="720"/>
      <c r="AA720" s="720"/>
      <c r="AB720" s="720"/>
    </row>
    <row r="721" spans="1:28" ht="12.75" customHeight="1">
      <c r="A721" s="902"/>
      <c r="B721" s="903"/>
      <c r="C721" s="720"/>
      <c r="D721" s="720"/>
      <c r="E721" s="720"/>
      <c r="F721" s="720"/>
      <c r="G721" s="906"/>
      <c r="H721" s="720"/>
      <c r="I721" s="720"/>
      <c r="J721" s="720"/>
      <c r="K721" s="907"/>
      <c r="L721" s="720"/>
      <c r="M721" s="720"/>
      <c r="N721" s="720"/>
      <c r="O721" s="720"/>
      <c r="P721" s="720"/>
      <c r="Q721" s="720"/>
      <c r="R721" s="720"/>
      <c r="S721" s="720"/>
      <c r="T721" s="720"/>
      <c r="U721" s="720"/>
      <c r="V721" s="720"/>
      <c r="W721" s="720"/>
      <c r="X721" s="720"/>
      <c r="Y721" s="720"/>
      <c r="Z721" s="720"/>
      <c r="AA721" s="720"/>
      <c r="AB721" s="720"/>
    </row>
    <row r="722" spans="1:28" ht="12.75" customHeight="1">
      <c r="A722" s="902"/>
      <c r="B722" s="903"/>
      <c r="C722" s="720"/>
      <c r="D722" s="720"/>
      <c r="E722" s="720"/>
      <c r="F722" s="720"/>
      <c r="G722" s="906"/>
      <c r="H722" s="720"/>
      <c r="I722" s="720"/>
      <c r="J722" s="720"/>
      <c r="K722" s="907"/>
      <c r="L722" s="720"/>
      <c r="M722" s="720"/>
      <c r="N722" s="720"/>
      <c r="O722" s="720"/>
      <c r="P722" s="720"/>
      <c r="Q722" s="720"/>
      <c r="R722" s="720"/>
      <c r="S722" s="720"/>
      <c r="T722" s="720"/>
      <c r="U722" s="720"/>
      <c r="V722" s="720"/>
      <c r="W722" s="720"/>
      <c r="X722" s="720"/>
      <c r="Y722" s="720"/>
      <c r="Z722" s="720"/>
      <c r="AA722" s="720"/>
      <c r="AB722" s="720"/>
    </row>
    <row r="723" spans="1:28" ht="12.75" customHeight="1">
      <c r="A723" s="902"/>
      <c r="B723" s="903"/>
      <c r="C723" s="720"/>
      <c r="D723" s="720"/>
      <c r="E723" s="720"/>
      <c r="F723" s="720"/>
      <c r="G723" s="906"/>
      <c r="H723" s="720"/>
      <c r="I723" s="720"/>
      <c r="J723" s="720"/>
      <c r="K723" s="907"/>
      <c r="L723" s="720"/>
      <c r="M723" s="720"/>
      <c r="N723" s="720"/>
      <c r="O723" s="720"/>
      <c r="P723" s="720"/>
      <c r="Q723" s="720"/>
      <c r="R723" s="720"/>
      <c r="S723" s="720"/>
      <c r="T723" s="720"/>
      <c r="U723" s="720"/>
      <c r="V723" s="720"/>
      <c r="W723" s="720"/>
      <c r="X723" s="720"/>
      <c r="Y723" s="720"/>
      <c r="Z723" s="720"/>
      <c r="AA723" s="720"/>
      <c r="AB723" s="720"/>
    </row>
    <row r="724" spans="1:28" ht="12.75" customHeight="1">
      <c r="A724" s="902"/>
      <c r="B724" s="903"/>
      <c r="C724" s="720"/>
      <c r="D724" s="720"/>
      <c r="E724" s="720"/>
      <c r="F724" s="720"/>
      <c r="G724" s="906"/>
      <c r="H724" s="720"/>
      <c r="I724" s="720"/>
      <c r="J724" s="720"/>
      <c r="K724" s="907"/>
      <c r="L724" s="720"/>
      <c r="M724" s="720"/>
      <c r="N724" s="720"/>
      <c r="O724" s="720"/>
      <c r="P724" s="720"/>
      <c r="Q724" s="720"/>
      <c r="R724" s="720"/>
      <c r="S724" s="720"/>
      <c r="T724" s="720"/>
      <c r="U724" s="720"/>
      <c r="V724" s="720"/>
      <c r="W724" s="720"/>
      <c r="X724" s="720"/>
      <c r="Y724" s="720"/>
      <c r="Z724" s="720"/>
      <c r="AA724" s="720"/>
      <c r="AB724" s="720"/>
    </row>
    <row r="725" spans="1:28" ht="12.75" customHeight="1">
      <c r="A725" s="902"/>
      <c r="B725" s="903"/>
      <c r="C725" s="720"/>
      <c r="D725" s="720"/>
      <c r="E725" s="720"/>
      <c r="F725" s="720"/>
      <c r="G725" s="906"/>
      <c r="H725" s="720"/>
      <c r="I725" s="720"/>
      <c r="J725" s="720"/>
      <c r="K725" s="907"/>
      <c r="L725" s="720"/>
      <c r="M725" s="720"/>
      <c r="N725" s="720"/>
      <c r="O725" s="720"/>
      <c r="P725" s="720"/>
      <c r="Q725" s="720"/>
      <c r="R725" s="720"/>
      <c r="S725" s="720"/>
      <c r="T725" s="720"/>
      <c r="U725" s="720"/>
      <c r="V725" s="720"/>
      <c r="W725" s="720"/>
      <c r="X725" s="720"/>
      <c r="Y725" s="720"/>
      <c r="Z725" s="720"/>
      <c r="AA725" s="720"/>
      <c r="AB725" s="720"/>
    </row>
    <row r="726" spans="1:28" ht="12.75" customHeight="1">
      <c r="A726" s="902"/>
      <c r="B726" s="903"/>
      <c r="C726" s="720"/>
      <c r="D726" s="720"/>
      <c r="E726" s="720"/>
      <c r="F726" s="720"/>
      <c r="G726" s="906"/>
      <c r="H726" s="720"/>
      <c r="I726" s="720"/>
      <c r="J726" s="720"/>
      <c r="K726" s="907"/>
      <c r="L726" s="720"/>
      <c r="M726" s="720"/>
      <c r="N726" s="720"/>
      <c r="O726" s="720"/>
      <c r="P726" s="720"/>
      <c r="Q726" s="720"/>
      <c r="R726" s="720"/>
      <c r="S726" s="720"/>
      <c r="T726" s="720"/>
      <c r="U726" s="720"/>
      <c r="V726" s="720"/>
      <c r="W726" s="720"/>
      <c r="X726" s="720"/>
      <c r="Y726" s="720"/>
      <c r="Z726" s="720"/>
      <c r="AA726" s="720"/>
      <c r="AB726" s="720"/>
    </row>
    <row r="727" spans="1:28" ht="12.75" customHeight="1">
      <c r="A727" s="902"/>
      <c r="B727" s="903"/>
      <c r="C727" s="720"/>
      <c r="D727" s="720"/>
      <c r="E727" s="720"/>
      <c r="F727" s="720"/>
      <c r="G727" s="906"/>
      <c r="H727" s="720"/>
      <c r="I727" s="720"/>
      <c r="J727" s="720"/>
      <c r="K727" s="907"/>
      <c r="L727" s="720"/>
      <c r="M727" s="720"/>
      <c r="N727" s="720"/>
      <c r="O727" s="720"/>
      <c r="P727" s="720"/>
      <c r="Q727" s="720"/>
      <c r="R727" s="720"/>
      <c r="S727" s="720"/>
      <c r="T727" s="720"/>
      <c r="U727" s="720"/>
      <c r="V727" s="720"/>
      <c r="W727" s="720"/>
      <c r="X727" s="720"/>
      <c r="Y727" s="720"/>
      <c r="Z727" s="720"/>
      <c r="AA727" s="720"/>
      <c r="AB727" s="720"/>
    </row>
    <row r="728" spans="1:28" ht="12.75" customHeight="1">
      <c r="A728" s="902"/>
      <c r="B728" s="903"/>
      <c r="C728" s="720"/>
      <c r="D728" s="720"/>
      <c r="E728" s="720"/>
      <c r="F728" s="720"/>
      <c r="G728" s="906"/>
      <c r="H728" s="720"/>
      <c r="I728" s="720"/>
      <c r="J728" s="720"/>
      <c r="K728" s="907"/>
      <c r="L728" s="720"/>
      <c r="M728" s="720"/>
      <c r="N728" s="720"/>
      <c r="O728" s="720"/>
      <c r="P728" s="720"/>
      <c r="Q728" s="720"/>
      <c r="R728" s="720"/>
      <c r="S728" s="720"/>
      <c r="T728" s="720"/>
      <c r="U728" s="720"/>
      <c r="V728" s="720"/>
      <c r="W728" s="720"/>
      <c r="X728" s="720"/>
      <c r="Y728" s="720"/>
      <c r="Z728" s="720"/>
      <c r="AA728" s="720"/>
      <c r="AB728" s="720"/>
    </row>
    <row r="729" spans="1:28" ht="12.75" customHeight="1">
      <c r="A729" s="902"/>
      <c r="B729" s="903"/>
      <c r="C729" s="720"/>
      <c r="D729" s="720"/>
      <c r="E729" s="720"/>
      <c r="F729" s="720"/>
      <c r="G729" s="906"/>
      <c r="H729" s="720"/>
      <c r="I729" s="720"/>
      <c r="J729" s="720"/>
      <c r="K729" s="907"/>
      <c r="L729" s="720"/>
      <c r="M729" s="720"/>
      <c r="N729" s="720"/>
      <c r="O729" s="720"/>
      <c r="P729" s="720"/>
      <c r="Q729" s="720"/>
      <c r="R729" s="720"/>
      <c r="S729" s="720"/>
      <c r="T729" s="720"/>
      <c r="U729" s="720"/>
      <c r="V729" s="720"/>
      <c r="W729" s="720"/>
      <c r="X729" s="720"/>
      <c r="Y729" s="720"/>
      <c r="Z729" s="720"/>
      <c r="AA729" s="720"/>
      <c r="AB729" s="720"/>
    </row>
    <row r="730" spans="1:28" ht="12.75" customHeight="1">
      <c r="A730" s="902"/>
      <c r="B730" s="903"/>
      <c r="C730" s="720"/>
      <c r="D730" s="720"/>
      <c r="E730" s="720"/>
      <c r="F730" s="720"/>
      <c r="G730" s="906"/>
      <c r="H730" s="720"/>
      <c r="I730" s="720"/>
      <c r="J730" s="720"/>
      <c r="K730" s="907"/>
      <c r="L730" s="720"/>
      <c r="M730" s="720"/>
      <c r="N730" s="720"/>
      <c r="O730" s="720"/>
      <c r="P730" s="720"/>
      <c r="Q730" s="720"/>
      <c r="R730" s="720"/>
      <c r="S730" s="720"/>
      <c r="T730" s="720"/>
      <c r="U730" s="720"/>
      <c r="V730" s="720"/>
      <c r="W730" s="720"/>
      <c r="X730" s="720"/>
      <c r="Y730" s="720"/>
      <c r="Z730" s="720"/>
      <c r="AA730" s="720"/>
      <c r="AB730" s="720"/>
    </row>
    <row r="731" spans="1:28" ht="12.75" customHeight="1">
      <c r="A731" s="902"/>
      <c r="B731" s="903"/>
      <c r="C731" s="720"/>
      <c r="D731" s="720"/>
      <c r="E731" s="720"/>
      <c r="F731" s="720"/>
      <c r="G731" s="906"/>
      <c r="H731" s="720"/>
      <c r="I731" s="720"/>
      <c r="J731" s="720"/>
      <c r="K731" s="907"/>
      <c r="L731" s="720"/>
      <c r="M731" s="720"/>
      <c r="N731" s="720"/>
      <c r="O731" s="720"/>
      <c r="P731" s="720"/>
      <c r="Q731" s="720"/>
      <c r="R731" s="720"/>
      <c r="S731" s="720"/>
      <c r="T731" s="720"/>
      <c r="U731" s="720"/>
      <c r="V731" s="720"/>
      <c r="W731" s="720"/>
      <c r="X731" s="720"/>
      <c r="Y731" s="720"/>
      <c r="Z731" s="720"/>
      <c r="AA731" s="720"/>
      <c r="AB731" s="720"/>
    </row>
    <row r="732" spans="1:28" ht="12.75" customHeight="1">
      <c r="A732" s="902"/>
      <c r="B732" s="903"/>
      <c r="C732" s="720"/>
      <c r="D732" s="720"/>
      <c r="E732" s="720"/>
      <c r="F732" s="720"/>
      <c r="G732" s="906"/>
      <c r="H732" s="720"/>
      <c r="I732" s="720"/>
      <c r="J732" s="720"/>
      <c r="K732" s="907"/>
      <c r="L732" s="720"/>
      <c r="M732" s="720"/>
      <c r="N732" s="720"/>
      <c r="O732" s="720"/>
      <c r="P732" s="720"/>
      <c r="Q732" s="720"/>
      <c r="R732" s="720"/>
      <c r="S732" s="720"/>
      <c r="T732" s="720"/>
      <c r="U732" s="720"/>
      <c r="V732" s="720"/>
      <c r="W732" s="720"/>
      <c r="X732" s="720"/>
      <c r="Y732" s="720"/>
      <c r="Z732" s="720"/>
      <c r="AA732" s="720"/>
      <c r="AB732" s="720"/>
    </row>
    <row r="733" spans="1:28" ht="12.75" customHeight="1">
      <c r="A733" s="902"/>
      <c r="B733" s="903"/>
      <c r="C733" s="720"/>
      <c r="D733" s="720"/>
      <c r="E733" s="720"/>
      <c r="F733" s="720"/>
      <c r="G733" s="906"/>
      <c r="H733" s="720"/>
      <c r="I733" s="720"/>
      <c r="J733" s="720"/>
      <c r="K733" s="907"/>
      <c r="L733" s="720"/>
      <c r="M733" s="720"/>
      <c r="N733" s="720"/>
      <c r="O733" s="720"/>
      <c r="P733" s="720"/>
      <c r="Q733" s="720"/>
      <c r="R733" s="720"/>
      <c r="S733" s="720"/>
      <c r="T733" s="720"/>
      <c r="U733" s="720"/>
      <c r="V733" s="720"/>
      <c r="W733" s="720"/>
      <c r="X733" s="720"/>
      <c r="Y733" s="720"/>
      <c r="Z733" s="720"/>
      <c r="AA733" s="720"/>
      <c r="AB733" s="720"/>
    </row>
    <row r="734" spans="1:28" ht="12.75" customHeight="1">
      <c r="A734" s="902"/>
      <c r="B734" s="903"/>
      <c r="C734" s="720"/>
      <c r="D734" s="720"/>
      <c r="E734" s="720"/>
      <c r="F734" s="720"/>
      <c r="G734" s="906"/>
      <c r="H734" s="720"/>
      <c r="I734" s="720"/>
      <c r="J734" s="720"/>
      <c r="K734" s="907"/>
      <c r="L734" s="720"/>
      <c r="M734" s="720"/>
      <c r="N734" s="720"/>
      <c r="O734" s="720"/>
      <c r="P734" s="720"/>
      <c r="Q734" s="720"/>
      <c r="R734" s="720"/>
      <c r="S734" s="720"/>
      <c r="T734" s="720"/>
      <c r="U734" s="720"/>
      <c r="V734" s="720"/>
      <c r="W734" s="720"/>
      <c r="X734" s="720"/>
      <c r="Y734" s="720"/>
      <c r="Z734" s="720"/>
      <c r="AA734" s="720"/>
      <c r="AB734" s="720"/>
    </row>
    <row r="735" spans="1:28" ht="12.75" customHeight="1">
      <c r="A735" s="902"/>
      <c r="B735" s="903"/>
      <c r="C735" s="720"/>
      <c r="D735" s="720"/>
      <c r="E735" s="720"/>
      <c r="F735" s="720"/>
      <c r="G735" s="906"/>
      <c r="H735" s="720"/>
      <c r="I735" s="720"/>
      <c r="J735" s="720"/>
      <c r="K735" s="907"/>
      <c r="L735" s="720"/>
      <c r="M735" s="720"/>
      <c r="N735" s="720"/>
      <c r="O735" s="720"/>
      <c r="P735" s="720"/>
      <c r="Q735" s="720"/>
      <c r="R735" s="720"/>
      <c r="S735" s="720"/>
      <c r="T735" s="720"/>
      <c r="U735" s="720"/>
      <c r="V735" s="720"/>
      <c r="W735" s="720"/>
      <c r="X735" s="720"/>
      <c r="Y735" s="720"/>
      <c r="Z735" s="720"/>
      <c r="AA735" s="720"/>
      <c r="AB735" s="720"/>
    </row>
    <row r="736" spans="1:28" ht="12.75" customHeight="1">
      <c r="A736" s="902"/>
      <c r="B736" s="903"/>
      <c r="C736" s="720"/>
      <c r="D736" s="720"/>
      <c r="E736" s="720"/>
      <c r="F736" s="720"/>
      <c r="G736" s="906"/>
      <c r="H736" s="720"/>
      <c r="I736" s="720"/>
      <c r="J736" s="720"/>
      <c r="K736" s="907"/>
      <c r="L736" s="720"/>
      <c r="M736" s="720"/>
      <c r="N736" s="720"/>
      <c r="O736" s="720"/>
      <c r="P736" s="720"/>
      <c r="Q736" s="720"/>
      <c r="R736" s="720"/>
      <c r="S736" s="720"/>
      <c r="T736" s="720"/>
      <c r="U736" s="720"/>
      <c r="V736" s="720"/>
      <c r="W736" s="720"/>
      <c r="X736" s="720"/>
      <c r="Y736" s="720"/>
      <c r="Z736" s="720"/>
      <c r="AA736" s="720"/>
      <c r="AB736" s="720"/>
    </row>
    <row r="737" spans="1:28" ht="12.75" customHeight="1">
      <c r="A737" s="902"/>
      <c r="B737" s="903"/>
      <c r="C737" s="720"/>
      <c r="D737" s="720"/>
      <c r="E737" s="720"/>
      <c r="F737" s="720"/>
      <c r="G737" s="906"/>
      <c r="H737" s="720"/>
      <c r="I737" s="720"/>
      <c r="J737" s="720"/>
      <c r="K737" s="907"/>
      <c r="L737" s="720"/>
      <c r="M737" s="720"/>
      <c r="N737" s="720"/>
      <c r="O737" s="720"/>
      <c r="P737" s="720"/>
      <c r="Q737" s="720"/>
      <c r="R737" s="720"/>
      <c r="S737" s="720"/>
      <c r="T737" s="720"/>
      <c r="U737" s="720"/>
      <c r="V737" s="720"/>
      <c r="W737" s="720"/>
      <c r="X737" s="720"/>
      <c r="Y737" s="720"/>
      <c r="Z737" s="720"/>
      <c r="AA737" s="720"/>
      <c r="AB737" s="720"/>
    </row>
    <row r="738" spans="1:28" ht="12.75" customHeight="1">
      <c r="A738" s="902"/>
      <c r="B738" s="903"/>
      <c r="C738" s="720"/>
      <c r="D738" s="720"/>
      <c r="E738" s="720"/>
      <c r="F738" s="720"/>
      <c r="G738" s="906"/>
      <c r="H738" s="720"/>
      <c r="I738" s="720"/>
      <c r="J738" s="720"/>
      <c r="K738" s="907"/>
      <c r="L738" s="720"/>
      <c r="M738" s="720"/>
      <c r="N738" s="720"/>
      <c r="O738" s="720"/>
      <c r="P738" s="720"/>
      <c r="Q738" s="720"/>
      <c r="R738" s="720"/>
      <c r="S738" s="720"/>
      <c r="T738" s="720"/>
      <c r="U738" s="720"/>
      <c r="V738" s="720"/>
      <c r="W738" s="720"/>
      <c r="X738" s="720"/>
      <c r="Y738" s="720"/>
      <c r="Z738" s="720"/>
      <c r="AA738" s="720"/>
      <c r="AB738" s="720"/>
    </row>
    <row r="739" spans="1:28" ht="12.75" customHeight="1">
      <c r="A739" s="902"/>
      <c r="B739" s="903"/>
      <c r="C739" s="720"/>
      <c r="D739" s="720"/>
      <c r="E739" s="720"/>
      <c r="F739" s="720"/>
      <c r="G739" s="906"/>
      <c r="H739" s="720"/>
      <c r="I739" s="720"/>
      <c r="J739" s="720"/>
      <c r="K739" s="907"/>
      <c r="L739" s="720"/>
      <c r="M739" s="720"/>
      <c r="N739" s="720"/>
      <c r="O739" s="720"/>
      <c r="P739" s="720"/>
      <c r="Q739" s="720"/>
      <c r="R739" s="720"/>
      <c r="S739" s="720"/>
      <c r="T739" s="720"/>
      <c r="U739" s="720"/>
      <c r="V739" s="720"/>
      <c r="W739" s="720"/>
      <c r="X739" s="720"/>
      <c r="Y739" s="720"/>
      <c r="Z739" s="720"/>
      <c r="AA739" s="720"/>
      <c r="AB739" s="720"/>
    </row>
    <row r="740" spans="1:28" ht="12.75" customHeight="1">
      <c r="A740" s="902"/>
      <c r="B740" s="903"/>
      <c r="C740" s="720"/>
      <c r="D740" s="720"/>
      <c r="E740" s="720"/>
      <c r="F740" s="720"/>
      <c r="G740" s="906"/>
      <c r="H740" s="720"/>
      <c r="I740" s="720"/>
      <c r="J740" s="720"/>
      <c r="K740" s="907"/>
      <c r="L740" s="720"/>
      <c r="M740" s="720"/>
      <c r="N740" s="720"/>
      <c r="O740" s="720"/>
      <c r="P740" s="720"/>
      <c r="Q740" s="720"/>
      <c r="R740" s="720"/>
      <c r="S740" s="720"/>
      <c r="T740" s="720"/>
      <c r="U740" s="720"/>
      <c r="V740" s="720"/>
      <c r="W740" s="720"/>
      <c r="X740" s="720"/>
      <c r="Y740" s="720"/>
      <c r="Z740" s="720"/>
      <c r="AA740" s="720"/>
      <c r="AB740" s="720"/>
    </row>
    <row r="741" spans="1:28" ht="12.75" customHeight="1">
      <c r="A741" s="902"/>
      <c r="B741" s="903"/>
      <c r="C741" s="720"/>
      <c r="D741" s="720"/>
      <c r="E741" s="720"/>
      <c r="F741" s="720"/>
      <c r="G741" s="906"/>
      <c r="H741" s="720"/>
      <c r="I741" s="720"/>
      <c r="J741" s="720"/>
      <c r="K741" s="907"/>
      <c r="L741" s="720"/>
      <c r="M741" s="720"/>
      <c r="N741" s="720"/>
      <c r="O741" s="720"/>
      <c r="P741" s="720"/>
      <c r="Q741" s="720"/>
      <c r="R741" s="720"/>
      <c r="S741" s="720"/>
      <c r="T741" s="720"/>
      <c r="U741" s="720"/>
      <c r="V741" s="720"/>
      <c r="W741" s="720"/>
      <c r="X741" s="720"/>
      <c r="Y741" s="720"/>
      <c r="Z741" s="720"/>
      <c r="AA741" s="720"/>
      <c r="AB741" s="720"/>
    </row>
    <row r="742" spans="1:28" ht="12.75" customHeight="1">
      <c r="A742" s="902"/>
      <c r="B742" s="903"/>
      <c r="C742" s="720"/>
      <c r="D742" s="720"/>
      <c r="E742" s="720"/>
      <c r="F742" s="720"/>
      <c r="G742" s="906"/>
      <c r="H742" s="720"/>
      <c r="I742" s="720"/>
      <c r="J742" s="720"/>
      <c r="K742" s="907"/>
      <c r="L742" s="720"/>
      <c r="M742" s="720"/>
      <c r="N742" s="720"/>
      <c r="O742" s="720"/>
      <c r="P742" s="720"/>
      <c r="Q742" s="720"/>
      <c r="R742" s="720"/>
      <c r="S742" s="720"/>
      <c r="T742" s="720"/>
      <c r="U742" s="720"/>
      <c r="V742" s="720"/>
      <c r="W742" s="720"/>
      <c r="X742" s="720"/>
      <c r="Y742" s="720"/>
      <c r="Z742" s="720"/>
      <c r="AA742" s="720"/>
      <c r="AB742" s="720"/>
    </row>
    <row r="743" spans="1:28" ht="12.75" customHeight="1">
      <c r="A743" s="902"/>
      <c r="B743" s="903"/>
      <c r="C743" s="720"/>
      <c r="D743" s="720"/>
      <c r="E743" s="720"/>
      <c r="F743" s="720"/>
      <c r="G743" s="906"/>
      <c r="H743" s="720"/>
      <c r="I743" s="720"/>
      <c r="J743" s="720"/>
      <c r="K743" s="907"/>
      <c r="L743" s="720"/>
      <c r="M743" s="720"/>
      <c r="N743" s="720"/>
      <c r="O743" s="720"/>
      <c r="P743" s="720"/>
      <c r="Q743" s="720"/>
      <c r="R743" s="720"/>
      <c r="S743" s="720"/>
      <c r="T743" s="720"/>
      <c r="U743" s="720"/>
      <c r="V743" s="720"/>
      <c r="W743" s="720"/>
      <c r="X743" s="720"/>
      <c r="Y743" s="720"/>
      <c r="Z743" s="720"/>
      <c r="AA743" s="720"/>
      <c r="AB743" s="720"/>
    </row>
    <row r="744" spans="1:28" ht="12.75" customHeight="1">
      <c r="A744" s="902"/>
      <c r="B744" s="903"/>
      <c r="C744" s="720"/>
      <c r="D744" s="720"/>
      <c r="E744" s="720"/>
      <c r="F744" s="720"/>
      <c r="G744" s="906"/>
      <c r="H744" s="720"/>
      <c r="I744" s="720"/>
      <c r="J744" s="720"/>
      <c r="K744" s="907"/>
      <c r="L744" s="720"/>
      <c r="M744" s="720"/>
      <c r="N744" s="720"/>
      <c r="O744" s="720"/>
      <c r="P744" s="720"/>
      <c r="Q744" s="720"/>
      <c r="R744" s="720"/>
      <c r="S744" s="720"/>
      <c r="T744" s="720"/>
      <c r="U744" s="720"/>
      <c r="V744" s="720"/>
      <c r="W744" s="720"/>
      <c r="X744" s="720"/>
      <c r="Y744" s="720"/>
      <c r="Z744" s="720"/>
      <c r="AA744" s="720"/>
      <c r="AB744" s="720"/>
    </row>
    <row r="745" spans="1:28" ht="12.75" customHeight="1">
      <c r="A745" s="902"/>
      <c r="B745" s="903"/>
      <c r="C745" s="720"/>
      <c r="D745" s="720"/>
      <c r="E745" s="720"/>
      <c r="F745" s="720"/>
      <c r="G745" s="906"/>
      <c r="H745" s="720"/>
      <c r="I745" s="720"/>
      <c r="J745" s="720"/>
      <c r="K745" s="907"/>
      <c r="L745" s="720"/>
      <c r="M745" s="720"/>
      <c r="N745" s="720"/>
      <c r="O745" s="720"/>
      <c r="P745" s="720"/>
      <c r="Q745" s="720"/>
      <c r="R745" s="720"/>
      <c r="S745" s="720"/>
      <c r="T745" s="720"/>
      <c r="U745" s="720"/>
      <c r="V745" s="720"/>
      <c r="W745" s="720"/>
      <c r="X745" s="720"/>
      <c r="Y745" s="720"/>
      <c r="Z745" s="720"/>
      <c r="AA745" s="720"/>
      <c r="AB745" s="720"/>
    </row>
    <row r="746" spans="1:28" ht="12.75" customHeight="1">
      <c r="A746" s="902"/>
      <c r="B746" s="903"/>
      <c r="C746" s="720"/>
      <c r="D746" s="720"/>
      <c r="E746" s="720"/>
      <c r="F746" s="720"/>
      <c r="G746" s="906"/>
      <c r="H746" s="720"/>
      <c r="I746" s="720"/>
      <c r="J746" s="720"/>
      <c r="K746" s="907"/>
      <c r="L746" s="720"/>
      <c r="M746" s="720"/>
      <c r="N746" s="720"/>
      <c r="O746" s="720"/>
      <c r="P746" s="720"/>
      <c r="Q746" s="720"/>
      <c r="R746" s="720"/>
      <c r="S746" s="720"/>
      <c r="T746" s="720"/>
      <c r="U746" s="720"/>
      <c r="V746" s="720"/>
      <c r="W746" s="720"/>
      <c r="X746" s="720"/>
      <c r="Y746" s="720"/>
      <c r="Z746" s="720"/>
      <c r="AA746" s="720"/>
      <c r="AB746" s="720"/>
    </row>
    <row r="747" spans="1:28" ht="12.75" customHeight="1">
      <c r="A747" s="902"/>
      <c r="B747" s="903"/>
      <c r="C747" s="720"/>
      <c r="D747" s="720"/>
      <c r="E747" s="720"/>
      <c r="F747" s="720"/>
      <c r="G747" s="906"/>
      <c r="H747" s="720"/>
      <c r="I747" s="720"/>
      <c r="J747" s="720"/>
      <c r="K747" s="907"/>
      <c r="L747" s="720"/>
      <c r="M747" s="720"/>
      <c r="N747" s="720"/>
      <c r="O747" s="720"/>
      <c r="P747" s="720"/>
      <c r="Q747" s="720"/>
      <c r="R747" s="720"/>
      <c r="S747" s="720"/>
      <c r="T747" s="720"/>
      <c r="U747" s="720"/>
      <c r="V747" s="720"/>
      <c r="W747" s="720"/>
      <c r="X747" s="720"/>
      <c r="Y747" s="720"/>
      <c r="Z747" s="720"/>
      <c r="AA747" s="720"/>
      <c r="AB747" s="720"/>
    </row>
    <row r="748" spans="1:28" ht="12.75" customHeight="1">
      <c r="A748" s="902"/>
      <c r="B748" s="903"/>
      <c r="C748" s="720"/>
      <c r="D748" s="720"/>
      <c r="E748" s="720"/>
      <c r="F748" s="720"/>
      <c r="G748" s="906"/>
      <c r="H748" s="720"/>
      <c r="I748" s="720"/>
      <c r="J748" s="720"/>
      <c r="K748" s="907"/>
      <c r="L748" s="720"/>
      <c r="M748" s="720"/>
      <c r="N748" s="720"/>
      <c r="O748" s="720"/>
      <c r="P748" s="720"/>
      <c r="Q748" s="720"/>
      <c r="R748" s="720"/>
      <c r="S748" s="720"/>
      <c r="T748" s="720"/>
      <c r="U748" s="720"/>
      <c r="V748" s="720"/>
      <c r="W748" s="720"/>
      <c r="X748" s="720"/>
      <c r="Y748" s="720"/>
      <c r="Z748" s="720"/>
      <c r="AA748" s="720"/>
      <c r="AB748" s="720"/>
    </row>
    <row r="749" spans="1:28" ht="12.75" customHeight="1">
      <c r="A749" s="902"/>
      <c r="B749" s="903"/>
      <c r="C749" s="720"/>
      <c r="D749" s="720"/>
      <c r="E749" s="720"/>
      <c r="F749" s="720"/>
      <c r="G749" s="906"/>
      <c r="H749" s="720"/>
      <c r="I749" s="720"/>
      <c r="J749" s="720"/>
      <c r="K749" s="907"/>
      <c r="L749" s="720"/>
      <c r="M749" s="720"/>
      <c r="N749" s="720"/>
      <c r="O749" s="720"/>
      <c r="P749" s="720"/>
      <c r="Q749" s="720"/>
      <c r="R749" s="720"/>
      <c r="S749" s="720"/>
      <c r="T749" s="720"/>
      <c r="U749" s="720"/>
      <c r="V749" s="720"/>
      <c r="W749" s="720"/>
      <c r="X749" s="720"/>
      <c r="Y749" s="720"/>
      <c r="Z749" s="720"/>
      <c r="AA749" s="720"/>
      <c r="AB749" s="720"/>
    </row>
    <row r="750" spans="1:28" ht="12.75" customHeight="1">
      <c r="A750" s="902"/>
      <c r="B750" s="903"/>
      <c r="C750" s="720"/>
      <c r="D750" s="720"/>
      <c r="E750" s="720"/>
      <c r="F750" s="720"/>
      <c r="G750" s="906"/>
      <c r="H750" s="720"/>
      <c r="I750" s="720"/>
      <c r="J750" s="720"/>
      <c r="K750" s="907"/>
      <c r="L750" s="720"/>
      <c r="M750" s="720"/>
      <c r="N750" s="720"/>
      <c r="O750" s="720"/>
      <c r="P750" s="720"/>
      <c r="Q750" s="720"/>
      <c r="R750" s="720"/>
      <c r="S750" s="720"/>
      <c r="T750" s="720"/>
      <c r="U750" s="720"/>
      <c r="V750" s="720"/>
      <c r="W750" s="720"/>
      <c r="X750" s="720"/>
      <c r="Y750" s="720"/>
      <c r="Z750" s="720"/>
      <c r="AA750" s="720"/>
      <c r="AB750" s="720"/>
    </row>
    <row r="751" spans="1:28" ht="12.75" customHeight="1">
      <c r="A751" s="902"/>
      <c r="B751" s="903"/>
      <c r="C751" s="720"/>
      <c r="D751" s="720"/>
      <c r="E751" s="720"/>
      <c r="F751" s="720"/>
      <c r="G751" s="906"/>
      <c r="H751" s="720"/>
      <c r="I751" s="720"/>
      <c r="J751" s="720"/>
      <c r="K751" s="907"/>
      <c r="L751" s="720"/>
      <c r="M751" s="720"/>
      <c r="N751" s="720"/>
      <c r="O751" s="720"/>
      <c r="P751" s="720"/>
      <c r="Q751" s="720"/>
      <c r="R751" s="720"/>
      <c r="S751" s="720"/>
      <c r="T751" s="720"/>
      <c r="U751" s="720"/>
      <c r="V751" s="720"/>
      <c r="W751" s="720"/>
      <c r="X751" s="720"/>
      <c r="Y751" s="720"/>
      <c r="Z751" s="720"/>
      <c r="AA751" s="720"/>
      <c r="AB751" s="720"/>
    </row>
    <row r="752" spans="1:28" ht="12.75" customHeight="1">
      <c r="A752" s="902"/>
      <c r="B752" s="903"/>
      <c r="C752" s="720"/>
      <c r="D752" s="720"/>
      <c r="E752" s="720"/>
      <c r="F752" s="720"/>
      <c r="G752" s="906"/>
      <c r="H752" s="720"/>
      <c r="I752" s="720"/>
      <c r="J752" s="720"/>
      <c r="K752" s="907"/>
      <c r="L752" s="720"/>
      <c r="M752" s="720"/>
      <c r="N752" s="720"/>
      <c r="O752" s="720"/>
      <c r="P752" s="720"/>
      <c r="Q752" s="720"/>
      <c r="R752" s="720"/>
      <c r="S752" s="720"/>
      <c r="T752" s="720"/>
      <c r="U752" s="720"/>
      <c r="V752" s="720"/>
      <c r="W752" s="720"/>
      <c r="X752" s="720"/>
      <c r="Y752" s="720"/>
      <c r="Z752" s="720"/>
      <c r="AA752" s="720"/>
      <c r="AB752" s="720"/>
    </row>
    <row r="753" spans="1:28" ht="12.75" customHeight="1">
      <c r="A753" s="902"/>
      <c r="B753" s="903"/>
      <c r="C753" s="720"/>
      <c r="D753" s="720"/>
      <c r="E753" s="720"/>
      <c r="F753" s="720"/>
      <c r="G753" s="906"/>
      <c r="H753" s="720"/>
      <c r="I753" s="720"/>
      <c r="J753" s="720"/>
      <c r="K753" s="907"/>
      <c r="L753" s="720"/>
      <c r="M753" s="720"/>
      <c r="N753" s="720"/>
      <c r="O753" s="720"/>
      <c r="P753" s="720"/>
      <c r="Q753" s="720"/>
      <c r="R753" s="720"/>
      <c r="S753" s="720"/>
      <c r="T753" s="720"/>
      <c r="U753" s="720"/>
      <c r="V753" s="720"/>
      <c r="W753" s="720"/>
      <c r="X753" s="720"/>
      <c r="Y753" s="720"/>
      <c r="Z753" s="720"/>
      <c r="AA753" s="720"/>
      <c r="AB753" s="720"/>
    </row>
    <row r="754" spans="1:28" ht="12.75" customHeight="1">
      <c r="A754" s="902"/>
      <c r="B754" s="903"/>
      <c r="C754" s="720"/>
      <c r="D754" s="720"/>
      <c r="E754" s="720"/>
      <c r="F754" s="720"/>
      <c r="G754" s="906"/>
      <c r="H754" s="720"/>
      <c r="I754" s="720"/>
      <c r="J754" s="720"/>
      <c r="K754" s="907"/>
      <c r="L754" s="720"/>
      <c r="M754" s="720"/>
      <c r="N754" s="720"/>
      <c r="O754" s="720"/>
      <c r="P754" s="720"/>
      <c r="Q754" s="720"/>
      <c r="R754" s="720"/>
      <c r="S754" s="720"/>
      <c r="T754" s="720"/>
      <c r="U754" s="720"/>
      <c r="V754" s="720"/>
      <c r="W754" s="720"/>
      <c r="X754" s="720"/>
      <c r="Y754" s="720"/>
      <c r="Z754" s="720"/>
      <c r="AA754" s="720"/>
      <c r="AB754" s="720"/>
    </row>
    <row r="755" spans="1:28" ht="12.75" customHeight="1">
      <c r="A755" s="902"/>
      <c r="B755" s="903"/>
      <c r="C755" s="720"/>
      <c r="D755" s="720"/>
      <c r="E755" s="720"/>
      <c r="F755" s="720"/>
      <c r="G755" s="906"/>
      <c r="H755" s="720"/>
      <c r="I755" s="720"/>
      <c r="J755" s="720"/>
      <c r="K755" s="907"/>
      <c r="L755" s="720"/>
      <c r="M755" s="720"/>
      <c r="N755" s="720"/>
      <c r="O755" s="720"/>
      <c r="P755" s="720"/>
      <c r="Q755" s="720"/>
      <c r="R755" s="720"/>
      <c r="S755" s="720"/>
      <c r="T755" s="720"/>
      <c r="U755" s="720"/>
      <c r="V755" s="720"/>
      <c r="W755" s="720"/>
      <c r="X755" s="720"/>
      <c r="Y755" s="720"/>
      <c r="Z755" s="720"/>
      <c r="AA755" s="720"/>
      <c r="AB755" s="720"/>
    </row>
    <row r="756" spans="1:28" ht="12.75" customHeight="1">
      <c r="A756" s="902"/>
      <c r="B756" s="903"/>
      <c r="C756" s="720"/>
      <c r="D756" s="720"/>
      <c r="E756" s="720"/>
      <c r="F756" s="720"/>
      <c r="G756" s="906"/>
      <c r="H756" s="720"/>
      <c r="I756" s="720"/>
      <c r="J756" s="720"/>
      <c r="K756" s="907"/>
      <c r="L756" s="720"/>
      <c r="M756" s="720"/>
      <c r="N756" s="720"/>
      <c r="O756" s="720"/>
      <c r="P756" s="720"/>
      <c r="Q756" s="720"/>
      <c r="R756" s="720"/>
      <c r="S756" s="720"/>
      <c r="T756" s="720"/>
      <c r="U756" s="720"/>
      <c r="V756" s="720"/>
      <c r="W756" s="720"/>
      <c r="X756" s="720"/>
      <c r="Y756" s="720"/>
      <c r="Z756" s="720"/>
      <c r="AA756" s="720"/>
      <c r="AB756" s="720"/>
    </row>
    <row r="757" spans="1:28" ht="12.75" customHeight="1">
      <c r="A757" s="902"/>
      <c r="B757" s="903"/>
      <c r="C757" s="720"/>
      <c r="D757" s="720"/>
      <c r="E757" s="720"/>
      <c r="F757" s="720"/>
      <c r="G757" s="906"/>
      <c r="H757" s="720"/>
      <c r="I757" s="720"/>
      <c r="J757" s="720"/>
      <c r="K757" s="907"/>
      <c r="L757" s="720"/>
      <c r="M757" s="720"/>
      <c r="N757" s="720"/>
      <c r="O757" s="720"/>
      <c r="P757" s="720"/>
      <c r="Q757" s="720"/>
      <c r="R757" s="720"/>
      <c r="S757" s="720"/>
      <c r="T757" s="720"/>
      <c r="U757" s="720"/>
      <c r="V757" s="720"/>
      <c r="W757" s="720"/>
      <c r="X757" s="720"/>
      <c r="Y757" s="720"/>
      <c r="Z757" s="720"/>
      <c r="AA757" s="720"/>
      <c r="AB757" s="720"/>
    </row>
    <row r="758" spans="1:28" ht="12.75" customHeight="1">
      <c r="A758" s="902"/>
      <c r="B758" s="903"/>
      <c r="C758" s="720"/>
      <c r="D758" s="720"/>
      <c r="E758" s="720"/>
      <c r="F758" s="720"/>
      <c r="G758" s="906"/>
      <c r="H758" s="720"/>
      <c r="I758" s="720"/>
      <c r="J758" s="720"/>
      <c r="K758" s="907"/>
      <c r="L758" s="720"/>
      <c r="M758" s="720"/>
      <c r="N758" s="720"/>
      <c r="O758" s="720"/>
      <c r="P758" s="720"/>
      <c r="Q758" s="720"/>
      <c r="R758" s="720"/>
      <c r="S758" s="720"/>
      <c r="T758" s="720"/>
      <c r="U758" s="720"/>
      <c r="V758" s="720"/>
      <c r="W758" s="720"/>
      <c r="X758" s="720"/>
      <c r="Y758" s="720"/>
      <c r="Z758" s="720"/>
      <c r="AA758" s="720"/>
      <c r="AB758" s="720"/>
    </row>
    <row r="759" spans="1:28" ht="12.75" customHeight="1">
      <c r="A759" s="902"/>
      <c r="B759" s="903"/>
      <c r="C759" s="720"/>
      <c r="D759" s="720"/>
      <c r="E759" s="720"/>
      <c r="F759" s="720"/>
      <c r="G759" s="906"/>
      <c r="H759" s="720"/>
      <c r="I759" s="720"/>
      <c r="J759" s="720"/>
      <c r="K759" s="907"/>
      <c r="L759" s="720"/>
      <c r="M759" s="720"/>
      <c r="N759" s="720"/>
      <c r="O759" s="720"/>
      <c r="P759" s="720"/>
      <c r="Q759" s="720"/>
      <c r="R759" s="720"/>
      <c r="S759" s="720"/>
      <c r="T759" s="720"/>
      <c r="U759" s="720"/>
      <c r="V759" s="720"/>
      <c r="W759" s="720"/>
      <c r="X759" s="720"/>
      <c r="Y759" s="720"/>
      <c r="Z759" s="720"/>
      <c r="AA759" s="720"/>
      <c r="AB759" s="720"/>
    </row>
    <row r="760" spans="1:28" ht="12.75" customHeight="1">
      <c r="A760" s="902"/>
      <c r="B760" s="903"/>
      <c r="C760" s="720"/>
      <c r="D760" s="720"/>
      <c r="E760" s="720"/>
      <c r="F760" s="720"/>
      <c r="G760" s="906"/>
      <c r="H760" s="720"/>
      <c r="I760" s="720"/>
      <c r="J760" s="720"/>
      <c r="K760" s="907"/>
      <c r="L760" s="720"/>
      <c r="M760" s="720"/>
      <c r="N760" s="720"/>
      <c r="O760" s="720"/>
      <c r="P760" s="720"/>
      <c r="Q760" s="720"/>
      <c r="R760" s="720"/>
      <c r="S760" s="720"/>
      <c r="T760" s="720"/>
      <c r="U760" s="720"/>
      <c r="V760" s="720"/>
      <c r="W760" s="720"/>
      <c r="X760" s="720"/>
      <c r="Y760" s="720"/>
      <c r="Z760" s="720"/>
      <c r="AA760" s="720"/>
      <c r="AB760" s="720"/>
    </row>
    <row r="761" spans="1:28" ht="12.75" customHeight="1">
      <c r="A761" s="902"/>
      <c r="B761" s="903"/>
      <c r="C761" s="720"/>
      <c r="D761" s="720"/>
      <c r="E761" s="720"/>
      <c r="F761" s="720"/>
      <c r="G761" s="906"/>
      <c r="H761" s="720"/>
      <c r="I761" s="720"/>
      <c r="J761" s="720"/>
      <c r="K761" s="907"/>
      <c r="L761" s="720"/>
      <c r="M761" s="720"/>
      <c r="N761" s="720"/>
      <c r="O761" s="720"/>
      <c r="P761" s="720"/>
      <c r="Q761" s="720"/>
      <c r="R761" s="720"/>
      <c r="S761" s="720"/>
      <c r="T761" s="720"/>
      <c r="U761" s="720"/>
      <c r="V761" s="720"/>
      <c r="W761" s="720"/>
      <c r="X761" s="720"/>
      <c r="Y761" s="720"/>
      <c r="Z761" s="720"/>
      <c r="AA761" s="720"/>
      <c r="AB761" s="720"/>
    </row>
    <row r="762" spans="1:28" ht="12.75" customHeight="1">
      <c r="A762" s="902"/>
      <c r="B762" s="903"/>
      <c r="C762" s="720"/>
      <c r="D762" s="720"/>
      <c r="E762" s="720"/>
      <c r="F762" s="720"/>
      <c r="G762" s="906"/>
      <c r="H762" s="720"/>
      <c r="I762" s="720"/>
      <c r="J762" s="720"/>
      <c r="K762" s="907"/>
      <c r="L762" s="720"/>
      <c r="M762" s="720"/>
      <c r="N762" s="720"/>
      <c r="O762" s="720"/>
      <c r="P762" s="720"/>
      <c r="Q762" s="720"/>
      <c r="R762" s="720"/>
      <c r="S762" s="720"/>
      <c r="T762" s="720"/>
      <c r="U762" s="720"/>
      <c r="V762" s="720"/>
      <c r="W762" s="720"/>
      <c r="X762" s="720"/>
      <c r="Y762" s="720"/>
      <c r="Z762" s="720"/>
      <c r="AA762" s="720"/>
      <c r="AB762" s="720"/>
    </row>
    <row r="763" spans="1:28" ht="12.75" customHeight="1">
      <c r="A763" s="902"/>
      <c r="B763" s="903"/>
      <c r="C763" s="720"/>
      <c r="D763" s="720"/>
      <c r="E763" s="720"/>
      <c r="F763" s="720"/>
      <c r="G763" s="906"/>
      <c r="H763" s="720"/>
      <c r="I763" s="720"/>
      <c r="J763" s="720"/>
      <c r="K763" s="907"/>
      <c r="L763" s="720"/>
      <c r="M763" s="720"/>
      <c r="N763" s="720"/>
      <c r="O763" s="720"/>
      <c r="P763" s="720"/>
      <c r="Q763" s="720"/>
      <c r="R763" s="720"/>
      <c r="S763" s="720"/>
      <c r="T763" s="720"/>
      <c r="U763" s="720"/>
      <c r="V763" s="720"/>
      <c r="W763" s="720"/>
      <c r="X763" s="720"/>
      <c r="Y763" s="720"/>
      <c r="Z763" s="720"/>
      <c r="AA763" s="720"/>
      <c r="AB763" s="720"/>
    </row>
    <row r="764" spans="1:28" ht="12.75" customHeight="1">
      <c r="A764" s="902"/>
      <c r="B764" s="903"/>
      <c r="C764" s="720"/>
      <c r="D764" s="720"/>
      <c r="E764" s="720"/>
      <c r="F764" s="720"/>
      <c r="G764" s="906"/>
      <c r="H764" s="720"/>
      <c r="I764" s="720"/>
      <c r="J764" s="720"/>
      <c r="K764" s="907"/>
      <c r="L764" s="720"/>
      <c r="M764" s="720"/>
      <c r="N764" s="720"/>
      <c r="O764" s="720"/>
      <c r="P764" s="720"/>
      <c r="Q764" s="720"/>
      <c r="R764" s="720"/>
      <c r="S764" s="720"/>
      <c r="T764" s="720"/>
      <c r="U764" s="720"/>
      <c r="V764" s="720"/>
      <c r="W764" s="720"/>
      <c r="X764" s="720"/>
      <c r="Y764" s="720"/>
      <c r="Z764" s="720"/>
      <c r="AA764" s="720"/>
      <c r="AB764" s="720"/>
    </row>
    <row r="765" spans="1:28" ht="12.75" customHeight="1">
      <c r="A765" s="902"/>
      <c r="B765" s="903"/>
      <c r="C765" s="720"/>
      <c r="D765" s="720"/>
      <c r="E765" s="720"/>
      <c r="F765" s="720"/>
      <c r="G765" s="906"/>
      <c r="H765" s="720"/>
      <c r="I765" s="720"/>
      <c r="J765" s="720"/>
      <c r="K765" s="907"/>
      <c r="L765" s="720"/>
      <c r="M765" s="720"/>
      <c r="N765" s="720"/>
      <c r="O765" s="720"/>
      <c r="P765" s="720"/>
      <c r="Q765" s="720"/>
      <c r="R765" s="720"/>
      <c r="S765" s="720"/>
      <c r="T765" s="720"/>
      <c r="U765" s="720"/>
      <c r="V765" s="720"/>
      <c r="W765" s="720"/>
      <c r="X765" s="720"/>
      <c r="Y765" s="720"/>
      <c r="Z765" s="720"/>
      <c r="AA765" s="720"/>
      <c r="AB765" s="720"/>
    </row>
    <row r="766" spans="1:28" ht="12.75" customHeight="1">
      <c r="A766" s="902"/>
      <c r="B766" s="903"/>
      <c r="C766" s="720"/>
      <c r="D766" s="720"/>
      <c r="E766" s="720"/>
      <c r="F766" s="720"/>
      <c r="G766" s="906"/>
      <c r="H766" s="720"/>
      <c r="I766" s="720"/>
      <c r="J766" s="720"/>
      <c r="K766" s="907"/>
      <c r="L766" s="720"/>
      <c r="M766" s="720"/>
      <c r="N766" s="720"/>
      <c r="O766" s="720"/>
      <c r="P766" s="720"/>
      <c r="Q766" s="720"/>
      <c r="R766" s="720"/>
      <c r="S766" s="720"/>
      <c r="T766" s="720"/>
      <c r="U766" s="720"/>
      <c r="V766" s="720"/>
      <c r="W766" s="720"/>
      <c r="X766" s="720"/>
      <c r="Y766" s="720"/>
      <c r="Z766" s="720"/>
      <c r="AA766" s="720"/>
      <c r="AB766" s="720"/>
    </row>
    <row r="767" spans="1:28" ht="12.75" customHeight="1">
      <c r="A767" s="902"/>
      <c r="B767" s="903"/>
      <c r="C767" s="720"/>
      <c r="D767" s="720"/>
      <c r="E767" s="720"/>
      <c r="F767" s="720"/>
      <c r="G767" s="906"/>
      <c r="H767" s="720"/>
      <c r="I767" s="720"/>
      <c r="J767" s="720"/>
      <c r="K767" s="907"/>
      <c r="L767" s="720"/>
      <c r="M767" s="720"/>
      <c r="N767" s="720"/>
      <c r="O767" s="720"/>
      <c r="P767" s="720"/>
      <c r="Q767" s="720"/>
      <c r="R767" s="720"/>
      <c r="S767" s="720"/>
      <c r="T767" s="720"/>
      <c r="U767" s="720"/>
      <c r="V767" s="720"/>
      <c r="W767" s="720"/>
      <c r="X767" s="720"/>
      <c r="Y767" s="720"/>
      <c r="Z767" s="720"/>
      <c r="AA767" s="720"/>
      <c r="AB767" s="720"/>
    </row>
    <row r="768" spans="1:28" ht="12.75" customHeight="1">
      <c r="A768" s="902"/>
      <c r="B768" s="903"/>
      <c r="C768" s="720"/>
      <c r="D768" s="720"/>
      <c r="E768" s="720"/>
      <c r="F768" s="720"/>
      <c r="G768" s="906"/>
      <c r="H768" s="720"/>
      <c r="I768" s="720"/>
      <c r="J768" s="720"/>
      <c r="K768" s="907"/>
      <c r="L768" s="720"/>
      <c r="M768" s="720"/>
      <c r="N768" s="720"/>
      <c r="O768" s="720"/>
      <c r="P768" s="720"/>
      <c r="Q768" s="720"/>
      <c r="R768" s="720"/>
      <c r="S768" s="720"/>
      <c r="T768" s="720"/>
      <c r="U768" s="720"/>
      <c r="V768" s="720"/>
      <c r="W768" s="720"/>
      <c r="X768" s="720"/>
      <c r="Y768" s="720"/>
      <c r="Z768" s="720"/>
      <c r="AA768" s="720"/>
      <c r="AB768" s="720"/>
    </row>
    <row r="769" spans="1:28" ht="12.75" customHeight="1">
      <c r="A769" s="902"/>
      <c r="B769" s="903"/>
      <c r="C769" s="720"/>
      <c r="D769" s="720"/>
      <c r="E769" s="720"/>
      <c r="F769" s="720"/>
      <c r="G769" s="906"/>
      <c r="H769" s="720"/>
      <c r="I769" s="720"/>
      <c r="J769" s="720"/>
      <c r="K769" s="907"/>
      <c r="L769" s="720"/>
      <c r="M769" s="720"/>
      <c r="N769" s="720"/>
      <c r="O769" s="720"/>
      <c r="P769" s="720"/>
      <c r="Q769" s="720"/>
      <c r="R769" s="720"/>
      <c r="S769" s="720"/>
      <c r="T769" s="720"/>
      <c r="U769" s="720"/>
      <c r="V769" s="720"/>
      <c r="W769" s="720"/>
      <c r="X769" s="720"/>
      <c r="Y769" s="720"/>
      <c r="Z769" s="720"/>
      <c r="AA769" s="720"/>
      <c r="AB769" s="720"/>
    </row>
    <row r="770" spans="1:28" ht="12.75" customHeight="1">
      <c r="A770" s="902"/>
      <c r="B770" s="903"/>
      <c r="C770" s="720"/>
      <c r="D770" s="720"/>
      <c r="E770" s="720"/>
      <c r="F770" s="720"/>
      <c r="G770" s="906"/>
      <c r="H770" s="720"/>
      <c r="I770" s="720"/>
      <c r="J770" s="720"/>
      <c r="K770" s="907"/>
      <c r="L770" s="720"/>
      <c r="M770" s="720"/>
      <c r="N770" s="720"/>
      <c r="O770" s="720"/>
      <c r="P770" s="720"/>
      <c r="Q770" s="720"/>
      <c r="R770" s="720"/>
      <c r="S770" s="720"/>
      <c r="T770" s="720"/>
      <c r="U770" s="720"/>
      <c r="V770" s="720"/>
      <c r="W770" s="720"/>
      <c r="X770" s="720"/>
      <c r="Y770" s="720"/>
      <c r="Z770" s="720"/>
      <c r="AA770" s="720"/>
      <c r="AB770" s="720"/>
    </row>
    <row r="771" spans="1:28" ht="12.75" customHeight="1">
      <c r="A771" s="902"/>
      <c r="B771" s="903"/>
      <c r="C771" s="720"/>
      <c r="D771" s="720"/>
      <c r="E771" s="720"/>
      <c r="F771" s="720"/>
      <c r="G771" s="906"/>
      <c r="H771" s="720"/>
      <c r="I771" s="720"/>
      <c r="J771" s="720"/>
      <c r="K771" s="907"/>
      <c r="L771" s="720"/>
      <c r="M771" s="720"/>
      <c r="N771" s="720"/>
      <c r="O771" s="720"/>
      <c r="P771" s="720"/>
      <c r="Q771" s="720"/>
      <c r="R771" s="720"/>
      <c r="S771" s="720"/>
      <c r="T771" s="720"/>
      <c r="U771" s="720"/>
      <c r="V771" s="720"/>
      <c r="W771" s="720"/>
      <c r="X771" s="720"/>
      <c r="Y771" s="720"/>
      <c r="Z771" s="720"/>
      <c r="AA771" s="720"/>
      <c r="AB771" s="720"/>
    </row>
    <row r="772" spans="1:28" ht="12.75" customHeight="1">
      <c r="A772" s="902"/>
      <c r="B772" s="903"/>
      <c r="C772" s="720"/>
      <c r="D772" s="720"/>
      <c r="E772" s="720"/>
      <c r="F772" s="720"/>
      <c r="G772" s="906"/>
      <c r="H772" s="720"/>
      <c r="I772" s="720"/>
      <c r="J772" s="720"/>
      <c r="K772" s="907"/>
      <c r="L772" s="720"/>
      <c r="M772" s="720"/>
      <c r="N772" s="720"/>
      <c r="O772" s="720"/>
      <c r="P772" s="720"/>
      <c r="Q772" s="720"/>
      <c r="R772" s="720"/>
      <c r="S772" s="720"/>
      <c r="T772" s="720"/>
      <c r="U772" s="720"/>
      <c r="V772" s="720"/>
      <c r="W772" s="720"/>
      <c r="X772" s="720"/>
      <c r="Y772" s="720"/>
      <c r="Z772" s="720"/>
      <c r="AA772" s="720"/>
      <c r="AB772" s="720"/>
    </row>
    <row r="773" spans="1:28" ht="12.75" customHeight="1">
      <c r="A773" s="902"/>
      <c r="B773" s="903"/>
      <c r="C773" s="720"/>
      <c r="D773" s="720"/>
      <c r="E773" s="720"/>
      <c r="F773" s="720"/>
      <c r="G773" s="906"/>
      <c r="H773" s="720"/>
      <c r="I773" s="720"/>
      <c r="J773" s="720"/>
      <c r="K773" s="907"/>
      <c r="L773" s="720"/>
      <c r="M773" s="720"/>
      <c r="N773" s="720"/>
      <c r="O773" s="720"/>
      <c r="P773" s="720"/>
      <c r="Q773" s="720"/>
      <c r="R773" s="720"/>
      <c r="S773" s="720"/>
      <c r="T773" s="720"/>
      <c r="U773" s="720"/>
      <c r="V773" s="720"/>
      <c r="W773" s="720"/>
      <c r="X773" s="720"/>
      <c r="Y773" s="720"/>
      <c r="Z773" s="720"/>
      <c r="AA773" s="720"/>
      <c r="AB773" s="720"/>
    </row>
    <row r="774" spans="1:28" ht="12.75" customHeight="1">
      <c r="A774" s="902"/>
      <c r="B774" s="903"/>
      <c r="C774" s="720"/>
      <c r="D774" s="720"/>
      <c r="E774" s="720"/>
      <c r="F774" s="720"/>
      <c r="G774" s="906"/>
      <c r="H774" s="720"/>
      <c r="I774" s="720"/>
      <c r="J774" s="720"/>
      <c r="K774" s="907"/>
      <c r="L774" s="720"/>
      <c r="M774" s="720"/>
      <c r="N774" s="720"/>
      <c r="O774" s="720"/>
      <c r="P774" s="720"/>
      <c r="Q774" s="720"/>
      <c r="R774" s="720"/>
      <c r="S774" s="720"/>
      <c r="T774" s="720"/>
      <c r="U774" s="720"/>
      <c r="V774" s="720"/>
      <c r="W774" s="720"/>
      <c r="X774" s="720"/>
      <c r="Y774" s="720"/>
      <c r="Z774" s="720"/>
      <c r="AA774" s="720"/>
      <c r="AB774" s="720"/>
    </row>
    <row r="775" spans="1:28" ht="12.75" customHeight="1">
      <c r="A775" s="902"/>
      <c r="B775" s="903"/>
      <c r="C775" s="720"/>
      <c r="D775" s="720"/>
      <c r="E775" s="720"/>
      <c r="F775" s="720"/>
      <c r="G775" s="906"/>
      <c r="H775" s="720"/>
      <c r="I775" s="720"/>
      <c r="J775" s="720"/>
      <c r="K775" s="907"/>
      <c r="L775" s="720"/>
      <c r="M775" s="720"/>
      <c r="N775" s="720"/>
      <c r="O775" s="720"/>
      <c r="P775" s="720"/>
      <c r="Q775" s="720"/>
      <c r="R775" s="720"/>
      <c r="S775" s="720"/>
      <c r="T775" s="720"/>
      <c r="U775" s="720"/>
      <c r="V775" s="720"/>
      <c r="W775" s="720"/>
      <c r="X775" s="720"/>
      <c r="Y775" s="720"/>
      <c r="Z775" s="720"/>
      <c r="AA775" s="720"/>
      <c r="AB775" s="720"/>
    </row>
    <row r="776" spans="1:28" ht="12.75" customHeight="1">
      <c r="A776" s="902"/>
      <c r="B776" s="903"/>
      <c r="C776" s="720"/>
      <c r="D776" s="720"/>
      <c r="E776" s="720"/>
      <c r="F776" s="720"/>
      <c r="G776" s="906"/>
      <c r="H776" s="720"/>
      <c r="I776" s="720"/>
      <c r="J776" s="720"/>
      <c r="K776" s="907"/>
      <c r="L776" s="720"/>
      <c r="M776" s="720"/>
      <c r="N776" s="720"/>
      <c r="O776" s="720"/>
      <c r="P776" s="720"/>
      <c r="Q776" s="720"/>
      <c r="R776" s="720"/>
      <c r="S776" s="720"/>
      <c r="T776" s="720"/>
      <c r="U776" s="720"/>
      <c r="V776" s="720"/>
      <c r="W776" s="720"/>
      <c r="X776" s="720"/>
      <c r="Y776" s="720"/>
      <c r="Z776" s="720"/>
      <c r="AA776" s="720"/>
      <c r="AB776" s="720"/>
    </row>
    <row r="777" spans="1:28" ht="12.75" customHeight="1">
      <c r="A777" s="902"/>
      <c r="B777" s="903"/>
      <c r="C777" s="720"/>
      <c r="D777" s="720"/>
      <c r="E777" s="720"/>
      <c r="F777" s="720"/>
      <c r="G777" s="906"/>
      <c r="H777" s="720"/>
      <c r="I777" s="720"/>
      <c r="J777" s="720"/>
      <c r="K777" s="907"/>
      <c r="L777" s="720"/>
      <c r="M777" s="720"/>
      <c r="N777" s="720"/>
      <c r="O777" s="720"/>
      <c r="P777" s="720"/>
      <c r="Q777" s="720"/>
      <c r="R777" s="720"/>
      <c r="S777" s="720"/>
      <c r="T777" s="720"/>
      <c r="U777" s="720"/>
      <c r="V777" s="720"/>
      <c r="W777" s="720"/>
      <c r="X777" s="720"/>
      <c r="Y777" s="720"/>
      <c r="Z777" s="720"/>
      <c r="AA777" s="720"/>
      <c r="AB777" s="720"/>
    </row>
    <row r="778" spans="1:28" ht="12.75" customHeight="1">
      <c r="A778" s="902"/>
      <c r="B778" s="903"/>
      <c r="C778" s="720"/>
      <c r="D778" s="720"/>
      <c r="E778" s="720"/>
      <c r="F778" s="720"/>
      <c r="G778" s="906"/>
      <c r="H778" s="720"/>
      <c r="I778" s="720"/>
      <c r="J778" s="720"/>
      <c r="K778" s="907"/>
      <c r="L778" s="720"/>
      <c r="M778" s="720"/>
      <c r="N778" s="720"/>
      <c r="O778" s="720"/>
      <c r="P778" s="720"/>
      <c r="Q778" s="720"/>
      <c r="R778" s="720"/>
      <c r="S778" s="720"/>
      <c r="T778" s="720"/>
      <c r="U778" s="720"/>
      <c r="V778" s="720"/>
      <c r="W778" s="720"/>
      <c r="X778" s="720"/>
      <c r="Y778" s="720"/>
      <c r="Z778" s="720"/>
      <c r="AA778" s="720"/>
      <c r="AB778" s="720"/>
    </row>
    <row r="779" spans="1:28" ht="12.75" customHeight="1">
      <c r="A779" s="902"/>
      <c r="B779" s="903"/>
      <c r="C779" s="720"/>
      <c r="D779" s="720"/>
      <c r="E779" s="720"/>
      <c r="F779" s="720"/>
      <c r="G779" s="906"/>
      <c r="H779" s="720"/>
      <c r="I779" s="720"/>
      <c r="J779" s="720"/>
      <c r="K779" s="907"/>
      <c r="L779" s="720"/>
      <c r="M779" s="720"/>
      <c r="N779" s="720"/>
      <c r="O779" s="720"/>
      <c r="P779" s="720"/>
      <c r="Q779" s="720"/>
      <c r="R779" s="720"/>
      <c r="S779" s="720"/>
      <c r="T779" s="720"/>
      <c r="U779" s="720"/>
      <c r="V779" s="720"/>
      <c r="W779" s="720"/>
      <c r="X779" s="720"/>
      <c r="Y779" s="720"/>
      <c r="Z779" s="720"/>
      <c r="AA779" s="720"/>
      <c r="AB779" s="720"/>
    </row>
    <row r="780" spans="1:28" ht="12.75" customHeight="1">
      <c r="A780" s="902"/>
      <c r="B780" s="903"/>
      <c r="C780" s="720"/>
      <c r="D780" s="720"/>
      <c r="E780" s="720"/>
      <c r="F780" s="720"/>
      <c r="G780" s="906"/>
      <c r="H780" s="720"/>
      <c r="I780" s="720"/>
      <c r="J780" s="720"/>
      <c r="K780" s="907"/>
      <c r="L780" s="720"/>
      <c r="M780" s="720"/>
      <c r="N780" s="720"/>
      <c r="O780" s="720"/>
      <c r="P780" s="720"/>
      <c r="Q780" s="720"/>
      <c r="R780" s="720"/>
      <c r="S780" s="720"/>
      <c r="T780" s="720"/>
      <c r="U780" s="720"/>
      <c r="V780" s="720"/>
      <c r="W780" s="720"/>
      <c r="X780" s="720"/>
      <c r="Y780" s="720"/>
      <c r="Z780" s="720"/>
      <c r="AA780" s="720"/>
      <c r="AB780" s="720"/>
    </row>
    <row r="781" spans="1:28" ht="12.75" customHeight="1">
      <c r="A781" s="902"/>
      <c r="B781" s="903"/>
      <c r="C781" s="720"/>
      <c r="D781" s="720"/>
      <c r="E781" s="720"/>
      <c r="F781" s="720"/>
      <c r="G781" s="906"/>
      <c r="H781" s="720"/>
      <c r="I781" s="720"/>
      <c r="J781" s="720"/>
      <c r="K781" s="907"/>
      <c r="L781" s="720"/>
      <c r="M781" s="720"/>
      <c r="N781" s="720"/>
      <c r="O781" s="720"/>
      <c r="P781" s="720"/>
      <c r="Q781" s="720"/>
      <c r="R781" s="720"/>
      <c r="S781" s="720"/>
      <c r="T781" s="720"/>
      <c r="U781" s="720"/>
      <c r="V781" s="720"/>
      <c r="W781" s="720"/>
      <c r="X781" s="720"/>
      <c r="Y781" s="720"/>
      <c r="Z781" s="720"/>
      <c r="AA781" s="720"/>
      <c r="AB781" s="720"/>
    </row>
    <row r="782" spans="1:28" ht="12.75" customHeight="1">
      <c r="A782" s="902"/>
      <c r="B782" s="903"/>
      <c r="C782" s="720"/>
      <c r="D782" s="720"/>
      <c r="E782" s="720"/>
      <c r="F782" s="720"/>
      <c r="G782" s="906"/>
      <c r="H782" s="720"/>
      <c r="I782" s="720"/>
      <c r="J782" s="720"/>
      <c r="K782" s="907"/>
      <c r="L782" s="720"/>
      <c r="M782" s="720"/>
      <c r="N782" s="720"/>
      <c r="O782" s="720"/>
      <c r="P782" s="720"/>
      <c r="Q782" s="720"/>
      <c r="R782" s="720"/>
      <c r="S782" s="720"/>
      <c r="T782" s="720"/>
      <c r="U782" s="720"/>
      <c r="V782" s="720"/>
      <c r="W782" s="720"/>
      <c r="X782" s="720"/>
      <c r="Y782" s="720"/>
      <c r="Z782" s="720"/>
      <c r="AA782" s="720"/>
      <c r="AB782" s="720"/>
    </row>
    <row r="783" spans="1:28" ht="12.75" customHeight="1">
      <c r="A783" s="902"/>
      <c r="B783" s="903"/>
      <c r="C783" s="720"/>
      <c r="D783" s="720"/>
      <c r="E783" s="720"/>
      <c r="F783" s="720"/>
      <c r="G783" s="906"/>
      <c r="H783" s="720"/>
      <c r="I783" s="720"/>
      <c r="J783" s="720"/>
      <c r="K783" s="907"/>
      <c r="L783" s="720"/>
      <c r="M783" s="720"/>
      <c r="N783" s="720"/>
      <c r="O783" s="720"/>
      <c r="P783" s="720"/>
      <c r="Q783" s="720"/>
      <c r="R783" s="720"/>
      <c r="S783" s="720"/>
      <c r="T783" s="720"/>
      <c r="U783" s="720"/>
      <c r="V783" s="720"/>
      <c r="W783" s="720"/>
      <c r="X783" s="720"/>
      <c r="Y783" s="720"/>
      <c r="Z783" s="720"/>
      <c r="AA783" s="720"/>
      <c r="AB783" s="720"/>
    </row>
    <row r="784" spans="1:28" ht="12.75" customHeight="1">
      <c r="A784" s="902"/>
      <c r="B784" s="903"/>
      <c r="C784" s="720"/>
      <c r="D784" s="720"/>
      <c r="E784" s="720"/>
      <c r="F784" s="720"/>
      <c r="G784" s="906"/>
      <c r="H784" s="720"/>
      <c r="I784" s="720"/>
      <c r="J784" s="720"/>
      <c r="K784" s="907"/>
      <c r="L784" s="720"/>
      <c r="M784" s="720"/>
      <c r="N784" s="720"/>
      <c r="O784" s="720"/>
      <c r="P784" s="720"/>
      <c r="Q784" s="720"/>
      <c r="R784" s="720"/>
      <c r="S784" s="720"/>
      <c r="T784" s="720"/>
      <c r="U784" s="720"/>
      <c r="V784" s="720"/>
      <c r="W784" s="720"/>
      <c r="X784" s="720"/>
      <c r="Y784" s="720"/>
      <c r="Z784" s="720"/>
      <c r="AA784" s="720"/>
      <c r="AB784" s="720"/>
    </row>
    <row r="785" spans="1:28" ht="12.75" customHeight="1">
      <c r="A785" s="902"/>
      <c r="B785" s="903"/>
      <c r="C785" s="720"/>
      <c r="D785" s="720"/>
      <c r="E785" s="720"/>
      <c r="F785" s="720"/>
      <c r="G785" s="906"/>
      <c r="H785" s="720"/>
      <c r="I785" s="720"/>
      <c r="J785" s="720"/>
      <c r="K785" s="907"/>
      <c r="L785" s="720"/>
      <c r="M785" s="720"/>
      <c r="N785" s="720"/>
      <c r="O785" s="720"/>
      <c r="P785" s="720"/>
      <c r="Q785" s="720"/>
      <c r="R785" s="720"/>
      <c r="S785" s="720"/>
      <c r="T785" s="720"/>
      <c r="U785" s="720"/>
      <c r="V785" s="720"/>
      <c r="W785" s="720"/>
      <c r="X785" s="720"/>
      <c r="Y785" s="720"/>
      <c r="Z785" s="720"/>
      <c r="AA785" s="720"/>
      <c r="AB785" s="720"/>
    </row>
    <row r="786" spans="1:28" ht="12.75" customHeight="1">
      <c r="A786" s="902"/>
      <c r="B786" s="903"/>
      <c r="C786" s="720"/>
      <c r="D786" s="720"/>
      <c r="E786" s="720"/>
      <c r="F786" s="720"/>
      <c r="G786" s="906"/>
      <c r="H786" s="720"/>
      <c r="I786" s="720"/>
      <c r="J786" s="720"/>
      <c r="K786" s="907"/>
      <c r="L786" s="720"/>
      <c r="M786" s="720"/>
      <c r="N786" s="720"/>
      <c r="O786" s="720"/>
      <c r="P786" s="720"/>
      <c r="Q786" s="720"/>
      <c r="R786" s="720"/>
      <c r="S786" s="720"/>
      <c r="T786" s="720"/>
      <c r="U786" s="720"/>
      <c r="V786" s="720"/>
      <c r="W786" s="720"/>
      <c r="X786" s="720"/>
      <c r="Y786" s="720"/>
      <c r="Z786" s="720"/>
      <c r="AA786" s="720"/>
      <c r="AB786" s="720"/>
    </row>
    <row r="787" spans="1:28" ht="12.75" customHeight="1">
      <c r="A787" s="902"/>
      <c r="B787" s="903"/>
      <c r="C787" s="720"/>
      <c r="D787" s="720"/>
      <c r="E787" s="720"/>
      <c r="F787" s="720"/>
      <c r="G787" s="906"/>
      <c r="H787" s="720"/>
      <c r="I787" s="720"/>
      <c r="J787" s="720"/>
      <c r="K787" s="907"/>
      <c r="L787" s="720"/>
      <c r="M787" s="720"/>
      <c r="N787" s="720"/>
      <c r="O787" s="720"/>
      <c r="P787" s="720"/>
      <c r="Q787" s="720"/>
      <c r="R787" s="720"/>
      <c r="S787" s="720"/>
      <c r="T787" s="720"/>
      <c r="U787" s="720"/>
      <c r="V787" s="720"/>
      <c r="W787" s="720"/>
      <c r="X787" s="720"/>
      <c r="Y787" s="720"/>
      <c r="Z787" s="720"/>
      <c r="AA787" s="720"/>
      <c r="AB787" s="720"/>
    </row>
    <row r="788" spans="1:28" ht="12.75" customHeight="1">
      <c r="A788" s="902"/>
      <c r="B788" s="903"/>
      <c r="C788" s="720"/>
      <c r="D788" s="720"/>
      <c r="E788" s="720"/>
      <c r="F788" s="720"/>
      <c r="G788" s="906"/>
      <c r="H788" s="720"/>
      <c r="I788" s="720"/>
      <c r="J788" s="720"/>
      <c r="K788" s="907"/>
      <c r="L788" s="720"/>
      <c r="M788" s="720"/>
      <c r="N788" s="720"/>
      <c r="O788" s="720"/>
      <c r="P788" s="720"/>
      <c r="Q788" s="720"/>
      <c r="R788" s="720"/>
      <c r="S788" s="720"/>
      <c r="T788" s="720"/>
      <c r="U788" s="720"/>
      <c r="V788" s="720"/>
      <c r="W788" s="720"/>
      <c r="X788" s="720"/>
      <c r="Y788" s="720"/>
      <c r="Z788" s="720"/>
      <c r="AA788" s="720"/>
      <c r="AB788" s="720"/>
    </row>
    <row r="789" spans="1:28" ht="12.75" customHeight="1">
      <c r="A789" s="902"/>
      <c r="B789" s="903"/>
      <c r="C789" s="720"/>
      <c r="D789" s="720"/>
      <c r="E789" s="720"/>
      <c r="F789" s="720"/>
      <c r="G789" s="906"/>
      <c r="H789" s="720"/>
      <c r="I789" s="720"/>
      <c r="J789" s="720"/>
      <c r="K789" s="907"/>
      <c r="L789" s="720"/>
      <c r="M789" s="720"/>
      <c r="N789" s="720"/>
      <c r="O789" s="720"/>
      <c r="P789" s="720"/>
      <c r="Q789" s="720"/>
      <c r="R789" s="720"/>
      <c r="S789" s="720"/>
      <c r="T789" s="720"/>
      <c r="U789" s="720"/>
      <c r="V789" s="720"/>
      <c r="W789" s="720"/>
      <c r="X789" s="720"/>
      <c r="Y789" s="720"/>
      <c r="Z789" s="720"/>
      <c r="AA789" s="720"/>
      <c r="AB789" s="720"/>
    </row>
    <row r="790" spans="1:28" ht="12.75" customHeight="1">
      <c r="A790" s="902"/>
      <c r="B790" s="903"/>
      <c r="C790" s="720"/>
      <c r="D790" s="720"/>
      <c r="E790" s="720"/>
      <c r="F790" s="720"/>
      <c r="G790" s="906"/>
      <c r="H790" s="720"/>
      <c r="I790" s="720"/>
      <c r="J790" s="720"/>
      <c r="K790" s="907"/>
      <c r="L790" s="720"/>
      <c r="M790" s="720"/>
      <c r="N790" s="720"/>
      <c r="O790" s="720"/>
      <c r="P790" s="720"/>
      <c r="Q790" s="720"/>
      <c r="R790" s="720"/>
      <c r="S790" s="720"/>
      <c r="T790" s="720"/>
      <c r="U790" s="720"/>
      <c r="V790" s="720"/>
      <c r="W790" s="720"/>
      <c r="X790" s="720"/>
      <c r="Y790" s="720"/>
      <c r="Z790" s="720"/>
      <c r="AA790" s="720"/>
      <c r="AB790" s="720"/>
    </row>
    <row r="791" spans="1:28" ht="12.75" customHeight="1">
      <c r="A791" s="902"/>
      <c r="B791" s="903"/>
      <c r="C791" s="720"/>
      <c r="D791" s="720"/>
      <c r="E791" s="720"/>
      <c r="F791" s="720"/>
      <c r="G791" s="906"/>
      <c r="H791" s="720"/>
      <c r="I791" s="720"/>
      <c r="J791" s="720"/>
      <c r="K791" s="907"/>
      <c r="L791" s="720"/>
      <c r="M791" s="720"/>
      <c r="N791" s="720"/>
      <c r="O791" s="720"/>
      <c r="P791" s="720"/>
      <c r="Q791" s="720"/>
      <c r="R791" s="720"/>
      <c r="S791" s="720"/>
      <c r="T791" s="720"/>
      <c r="U791" s="720"/>
      <c r="V791" s="720"/>
      <c r="W791" s="720"/>
      <c r="X791" s="720"/>
      <c r="Y791" s="720"/>
      <c r="Z791" s="720"/>
      <c r="AA791" s="720"/>
      <c r="AB791" s="720"/>
    </row>
    <row r="792" spans="1:28" ht="12.75" customHeight="1">
      <c r="A792" s="902"/>
      <c r="B792" s="903"/>
      <c r="C792" s="720"/>
      <c r="D792" s="720"/>
      <c r="E792" s="720"/>
      <c r="F792" s="720"/>
      <c r="G792" s="906"/>
      <c r="H792" s="720"/>
      <c r="I792" s="720"/>
      <c r="J792" s="720"/>
      <c r="K792" s="907"/>
      <c r="L792" s="720"/>
      <c r="M792" s="720"/>
      <c r="N792" s="720"/>
      <c r="O792" s="720"/>
      <c r="P792" s="720"/>
      <c r="Q792" s="720"/>
      <c r="R792" s="720"/>
      <c r="S792" s="720"/>
      <c r="T792" s="720"/>
      <c r="U792" s="720"/>
      <c r="V792" s="720"/>
      <c r="W792" s="720"/>
      <c r="X792" s="720"/>
      <c r="Y792" s="720"/>
      <c r="Z792" s="720"/>
      <c r="AA792" s="720"/>
      <c r="AB792" s="720"/>
    </row>
    <row r="793" spans="1:28" ht="12.75" customHeight="1">
      <c r="A793" s="902"/>
      <c r="B793" s="903"/>
      <c r="C793" s="720"/>
      <c r="D793" s="720"/>
      <c r="E793" s="720"/>
      <c r="F793" s="720"/>
      <c r="G793" s="906"/>
      <c r="H793" s="720"/>
      <c r="I793" s="720"/>
      <c r="J793" s="720"/>
      <c r="K793" s="907"/>
      <c r="L793" s="720"/>
      <c r="M793" s="720"/>
      <c r="N793" s="720"/>
      <c r="O793" s="720"/>
      <c r="P793" s="720"/>
      <c r="Q793" s="720"/>
      <c r="R793" s="720"/>
      <c r="S793" s="720"/>
      <c r="T793" s="720"/>
      <c r="U793" s="720"/>
      <c r="V793" s="720"/>
      <c r="W793" s="720"/>
      <c r="X793" s="720"/>
      <c r="Y793" s="720"/>
      <c r="Z793" s="720"/>
      <c r="AA793" s="720"/>
      <c r="AB793" s="720"/>
    </row>
    <row r="794" spans="1:28" ht="12.75" customHeight="1">
      <c r="A794" s="902"/>
      <c r="B794" s="903"/>
      <c r="C794" s="720"/>
      <c r="D794" s="720"/>
      <c r="E794" s="720"/>
      <c r="F794" s="720"/>
      <c r="G794" s="906"/>
      <c r="H794" s="720"/>
      <c r="I794" s="720"/>
      <c r="J794" s="720"/>
      <c r="K794" s="907"/>
      <c r="L794" s="720"/>
      <c r="M794" s="720"/>
      <c r="N794" s="720"/>
      <c r="O794" s="720"/>
      <c r="P794" s="720"/>
      <c r="Q794" s="720"/>
      <c r="R794" s="720"/>
      <c r="S794" s="720"/>
      <c r="T794" s="720"/>
      <c r="U794" s="720"/>
      <c r="V794" s="720"/>
      <c r="W794" s="720"/>
      <c r="X794" s="720"/>
      <c r="Y794" s="720"/>
      <c r="Z794" s="720"/>
      <c r="AA794" s="720"/>
      <c r="AB794" s="720"/>
    </row>
    <row r="795" spans="1:28" ht="12.75" customHeight="1">
      <c r="A795" s="902"/>
      <c r="B795" s="903"/>
      <c r="C795" s="720"/>
      <c r="D795" s="720"/>
      <c r="E795" s="720"/>
      <c r="F795" s="720"/>
      <c r="G795" s="906"/>
      <c r="H795" s="720"/>
      <c r="I795" s="720"/>
      <c r="J795" s="720"/>
      <c r="K795" s="907"/>
      <c r="L795" s="720"/>
      <c r="M795" s="720"/>
      <c r="N795" s="720"/>
      <c r="O795" s="720"/>
      <c r="P795" s="720"/>
      <c r="Q795" s="720"/>
      <c r="R795" s="720"/>
      <c r="S795" s="720"/>
      <c r="T795" s="720"/>
      <c r="U795" s="720"/>
      <c r="V795" s="720"/>
      <c r="W795" s="720"/>
      <c r="X795" s="720"/>
      <c r="Y795" s="720"/>
      <c r="Z795" s="720"/>
      <c r="AA795" s="720"/>
      <c r="AB795" s="720"/>
    </row>
    <row r="796" spans="1:28" ht="12.75" customHeight="1">
      <c r="A796" s="902"/>
      <c r="B796" s="903"/>
      <c r="C796" s="720"/>
      <c r="D796" s="720"/>
      <c r="E796" s="720"/>
      <c r="F796" s="720"/>
      <c r="G796" s="906"/>
      <c r="H796" s="720"/>
      <c r="I796" s="720"/>
      <c r="J796" s="720"/>
      <c r="K796" s="907"/>
      <c r="L796" s="720"/>
      <c r="M796" s="720"/>
      <c r="N796" s="720"/>
      <c r="O796" s="720"/>
      <c r="P796" s="720"/>
      <c r="Q796" s="720"/>
      <c r="R796" s="720"/>
      <c r="S796" s="720"/>
      <c r="T796" s="720"/>
      <c r="U796" s="720"/>
      <c r="V796" s="720"/>
      <c r="W796" s="720"/>
      <c r="X796" s="720"/>
      <c r="Y796" s="720"/>
      <c r="Z796" s="720"/>
      <c r="AA796" s="720"/>
      <c r="AB796" s="720"/>
    </row>
    <row r="797" spans="1:28" ht="12.75" customHeight="1">
      <c r="A797" s="902"/>
      <c r="B797" s="903"/>
      <c r="C797" s="720"/>
      <c r="D797" s="720"/>
      <c r="E797" s="720"/>
      <c r="F797" s="720"/>
      <c r="G797" s="906"/>
      <c r="H797" s="720"/>
      <c r="I797" s="720"/>
      <c r="J797" s="720"/>
      <c r="K797" s="907"/>
      <c r="L797" s="720"/>
      <c r="M797" s="720"/>
      <c r="N797" s="720"/>
      <c r="O797" s="720"/>
      <c r="P797" s="720"/>
      <c r="Q797" s="720"/>
      <c r="R797" s="720"/>
      <c r="S797" s="720"/>
      <c r="T797" s="720"/>
      <c r="U797" s="720"/>
      <c r="V797" s="720"/>
      <c r="W797" s="720"/>
      <c r="X797" s="720"/>
      <c r="Y797" s="720"/>
      <c r="Z797" s="720"/>
      <c r="AA797" s="720"/>
      <c r="AB797" s="720"/>
    </row>
    <row r="798" spans="1:28" ht="12.75" customHeight="1">
      <c r="A798" s="902"/>
      <c r="B798" s="903"/>
      <c r="C798" s="720"/>
      <c r="D798" s="720"/>
      <c r="E798" s="720"/>
      <c r="F798" s="720"/>
      <c r="G798" s="906"/>
      <c r="H798" s="720"/>
      <c r="I798" s="720"/>
      <c r="J798" s="720"/>
      <c r="K798" s="907"/>
      <c r="L798" s="720"/>
      <c r="M798" s="720"/>
      <c r="N798" s="720"/>
      <c r="O798" s="720"/>
      <c r="P798" s="720"/>
      <c r="Q798" s="720"/>
      <c r="R798" s="720"/>
      <c r="S798" s="720"/>
      <c r="T798" s="720"/>
      <c r="U798" s="720"/>
      <c r="V798" s="720"/>
      <c r="W798" s="720"/>
      <c r="X798" s="720"/>
      <c r="Y798" s="720"/>
      <c r="Z798" s="720"/>
      <c r="AA798" s="720"/>
      <c r="AB798" s="720"/>
    </row>
    <row r="799" spans="1:28" ht="12.75" customHeight="1">
      <c r="A799" s="902"/>
      <c r="B799" s="903"/>
      <c r="C799" s="720"/>
      <c r="D799" s="720"/>
      <c r="E799" s="720"/>
      <c r="F799" s="720"/>
      <c r="G799" s="906"/>
      <c r="H799" s="720"/>
      <c r="I799" s="720"/>
      <c r="J799" s="720"/>
      <c r="K799" s="907"/>
      <c r="L799" s="720"/>
      <c r="M799" s="720"/>
      <c r="N799" s="720"/>
      <c r="O799" s="720"/>
      <c r="P799" s="720"/>
      <c r="Q799" s="720"/>
      <c r="R799" s="720"/>
      <c r="S799" s="720"/>
      <c r="T799" s="720"/>
      <c r="U799" s="720"/>
      <c r="V799" s="720"/>
      <c r="W799" s="720"/>
      <c r="X799" s="720"/>
      <c r="Y799" s="720"/>
      <c r="Z799" s="720"/>
      <c r="AA799" s="720"/>
      <c r="AB799" s="720"/>
    </row>
    <row r="800" spans="1:28" ht="12.75" customHeight="1">
      <c r="A800" s="902"/>
      <c r="B800" s="903"/>
      <c r="C800" s="720"/>
      <c r="D800" s="720"/>
      <c r="E800" s="720"/>
      <c r="F800" s="720"/>
      <c r="G800" s="906"/>
      <c r="H800" s="720"/>
      <c r="I800" s="720"/>
      <c r="J800" s="720"/>
      <c r="K800" s="907"/>
      <c r="L800" s="720"/>
      <c r="M800" s="720"/>
      <c r="N800" s="720"/>
      <c r="O800" s="720"/>
      <c r="P800" s="720"/>
      <c r="Q800" s="720"/>
      <c r="R800" s="720"/>
      <c r="S800" s="720"/>
      <c r="T800" s="720"/>
      <c r="U800" s="720"/>
      <c r="V800" s="720"/>
      <c r="W800" s="720"/>
      <c r="X800" s="720"/>
      <c r="Y800" s="720"/>
      <c r="Z800" s="720"/>
      <c r="AA800" s="720"/>
      <c r="AB800" s="720"/>
    </row>
    <row r="801" spans="1:28" ht="12.75" customHeight="1">
      <c r="A801" s="902"/>
      <c r="B801" s="903"/>
      <c r="C801" s="720"/>
      <c r="D801" s="720"/>
      <c r="E801" s="720"/>
      <c r="F801" s="720"/>
      <c r="G801" s="906"/>
      <c r="H801" s="720"/>
      <c r="I801" s="720"/>
      <c r="J801" s="720"/>
      <c r="K801" s="907"/>
      <c r="L801" s="720"/>
      <c r="M801" s="720"/>
      <c r="N801" s="720"/>
      <c r="O801" s="720"/>
      <c r="P801" s="720"/>
      <c r="Q801" s="720"/>
      <c r="R801" s="720"/>
      <c r="S801" s="720"/>
      <c r="T801" s="720"/>
      <c r="U801" s="720"/>
      <c r="V801" s="720"/>
      <c r="W801" s="720"/>
      <c r="X801" s="720"/>
      <c r="Y801" s="720"/>
      <c r="Z801" s="720"/>
      <c r="AA801" s="720"/>
      <c r="AB801" s="720"/>
    </row>
    <row r="802" spans="1:28" ht="12.75" customHeight="1">
      <c r="A802" s="902"/>
      <c r="B802" s="903"/>
      <c r="C802" s="720"/>
      <c r="D802" s="720"/>
      <c r="E802" s="720"/>
      <c r="F802" s="720"/>
      <c r="G802" s="906"/>
      <c r="H802" s="720"/>
      <c r="I802" s="720"/>
      <c r="J802" s="720"/>
      <c r="K802" s="907"/>
      <c r="L802" s="720"/>
      <c r="M802" s="720"/>
      <c r="N802" s="720"/>
      <c r="O802" s="720"/>
      <c r="P802" s="720"/>
      <c r="Q802" s="720"/>
      <c r="R802" s="720"/>
      <c r="S802" s="720"/>
      <c r="T802" s="720"/>
      <c r="U802" s="720"/>
      <c r="V802" s="720"/>
      <c r="W802" s="720"/>
      <c r="X802" s="720"/>
      <c r="Y802" s="720"/>
      <c r="Z802" s="720"/>
      <c r="AA802" s="720"/>
      <c r="AB802" s="720"/>
    </row>
    <row r="803" spans="1:28" ht="12.75" customHeight="1">
      <c r="A803" s="902"/>
      <c r="B803" s="903"/>
      <c r="C803" s="720"/>
      <c r="D803" s="720"/>
      <c r="E803" s="720"/>
      <c r="F803" s="720"/>
      <c r="G803" s="906"/>
      <c r="H803" s="720"/>
      <c r="I803" s="720"/>
      <c r="J803" s="720"/>
      <c r="K803" s="907"/>
      <c r="L803" s="720"/>
      <c r="M803" s="720"/>
      <c r="N803" s="720"/>
      <c r="O803" s="720"/>
      <c r="P803" s="720"/>
      <c r="Q803" s="720"/>
      <c r="R803" s="720"/>
      <c r="S803" s="720"/>
      <c r="T803" s="720"/>
      <c r="U803" s="720"/>
      <c r="V803" s="720"/>
      <c r="W803" s="720"/>
      <c r="X803" s="720"/>
      <c r="Y803" s="720"/>
      <c r="Z803" s="720"/>
      <c r="AA803" s="720"/>
      <c r="AB803" s="720"/>
    </row>
    <row r="804" spans="1:28" ht="12.75" customHeight="1">
      <c r="A804" s="902"/>
      <c r="B804" s="903"/>
      <c r="C804" s="720"/>
      <c r="D804" s="720"/>
      <c r="E804" s="720"/>
      <c r="F804" s="720"/>
      <c r="G804" s="906"/>
      <c r="H804" s="720"/>
      <c r="I804" s="720"/>
      <c r="J804" s="720"/>
      <c r="K804" s="907"/>
      <c r="L804" s="720"/>
      <c r="M804" s="720"/>
      <c r="N804" s="720"/>
      <c r="O804" s="720"/>
      <c r="P804" s="720"/>
      <c r="Q804" s="720"/>
      <c r="R804" s="720"/>
      <c r="S804" s="720"/>
      <c r="T804" s="720"/>
      <c r="U804" s="720"/>
      <c r="V804" s="720"/>
      <c r="W804" s="720"/>
      <c r="X804" s="720"/>
      <c r="Y804" s="720"/>
      <c r="Z804" s="720"/>
      <c r="AA804" s="720"/>
      <c r="AB804" s="720"/>
    </row>
    <row r="805" spans="1:28" ht="12.75" customHeight="1">
      <c r="A805" s="902"/>
      <c r="B805" s="903"/>
      <c r="C805" s="720"/>
      <c r="D805" s="720"/>
      <c r="E805" s="720"/>
      <c r="F805" s="720"/>
      <c r="G805" s="906"/>
      <c r="H805" s="720"/>
      <c r="I805" s="720"/>
      <c r="J805" s="720"/>
      <c r="K805" s="907"/>
      <c r="L805" s="720"/>
      <c r="M805" s="720"/>
      <c r="N805" s="720"/>
      <c r="O805" s="720"/>
      <c r="P805" s="720"/>
      <c r="Q805" s="720"/>
      <c r="R805" s="720"/>
      <c r="S805" s="720"/>
      <c r="T805" s="720"/>
      <c r="U805" s="720"/>
      <c r="V805" s="720"/>
      <c r="W805" s="720"/>
      <c r="X805" s="720"/>
      <c r="Y805" s="720"/>
      <c r="Z805" s="720"/>
      <c r="AA805" s="720"/>
      <c r="AB805" s="720"/>
    </row>
    <row r="806" spans="1:28" ht="12.75" customHeight="1">
      <c r="A806" s="902"/>
      <c r="B806" s="903"/>
      <c r="C806" s="720"/>
      <c r="D806" s="720"/>
      <c r="E806" s="720"/>
      <c r="F806" s="720"/>
      <c r="G806" s="906"/>
      <c r="H806" s="720"/>
      <c r="I806" s="720"/>
      <c r="J806" s="720"/>
      <c r="K806" s="907"/>
      <c r="L806" s="720"/>
      <c r="M806" s="720"/>
      <c r="N806" s="720"/>
      <c r="O806" s="720"/>
      <c r="P806" s="720"/>
      <c r="Q806" s="720"/>
      <c r="R806" s="720"/>
      <c r="S806" s="720"/>
      <c r="T806" s="720"/>
      <c r="U806" s="720"/>
      <c r="V806" s="720"/>
      <c r="W806" s="720"/>
      <c r="X806" s="720"/>
      <c r="Y806" s="720"/>
      <c r="Z806" s="720"/>
      <c r="AA806" s="720"/>
      <c r="AB806" s="720"/>
    </row>
    <row r="807" spans="1:28" ht="12.75" customHeight="1">
      <c r="A807" s="902"/>
      <c r="B807" s="903"/>
      <c r="C807" s="720"/>
      <c r="D807" s="720"/>
      <c r="E807" s="720"/>
      <c r="F807" s="720"/>
      <c r="G807" s="906"/>
      <c r="H807" s="720"/>
      <c r="I807" s="720"/>
      <c r="J807" s="720"/>
      <c r="K807" s="907"/>
      <c r="L807" s="720"/>
      <c r="M807" s="720"/>
      <c r="N807" s="720"/>
      <c r="O807" s="720"/>
      <c r="P807" s="720"/>
      <c r="Q807" s="720"/>
      <c r="R807" s="720"/>
      <c r="S807" s="720"/>
      <c r="T807" s="720"/>
      <c r="U807" s="720"/>
      <c r="V807" s="720"/>
      <c r="W807" s="720"/>
      <c r="X807" s="720"/>
      <c r="Y807" s="720"/>
      <c r="Z807" s="720"/>
      <c r="AA807" s="720"/>
      <c r="AB807" s="720"/>
    </row>
    <row r="808" spans="1:28" ht="12.75" customHeight="1">
      <c r="A808" s="902"/>
      <c r="B808" s="903"/>
      <c r="C808" s="720"/>
      <c r="D808" s="720"/>
      <c r="E808" s="720"/>
      <c r="F808" s="720"/>
      <c r="G808" s="906"/>
      <c r="H808" s="720"/>
      <c r="I808" s="720"/>
      <c r="J808" s="720"/>
      <c r="K808" s="907"/>
      <c r="L808" s="720"/>
      <c r="M808" s="720"/>
      <c r="N808" s="720"/>
      <c r="O808" s="720"/>
      <c r="P808" s="720"/>
      <c r="Q808" s="720"/>
      <c r="R808" s="720"/>
      <c r="S808" s="720"/>
      <c r="T808" s="720"/>
      <c r="U808" s="720"/>
      <c r="V808" s="720"/>
      <c r="W808" s="720"/>
      <c r="X808" s="720"/>
      <c r="Y808" s="720"/>
      <c r="Z808" s="720"/>
      <c r="AA808" s="720"/>
      <c r="AB808" s="720"/>
    </row>
    <row r="809" spans="1:28" ht="12.75" customHeight="1">
      <c r="A809" s="902"/>
      <c r="B809" s="903"/>
      <c r="C809" s="720"/>
      <c r="D809" s="720"/>
      <c r="E809" s="720"/>
      <c r="F809" s="720"/>
      <c r="G809" s="906"/>
      <c r="H809" s="720"/>
      <c r="I809" s="720"/>
      <c r="J809" s="720"/>
      <c r="K809" s="907"/>
      <c r="L809" s="720"/>
      <c r="M809" s="720"/>
      <c r="N809" s="720"/>
      <c r="O809" s="720"/>
      <c r="P809" s="720"/>
      <c r="Q809" s="720"/>
      <c r="R809" s="720"/>
      <c r="S809" s="720"/>
      <c r="T809" s="720"/>
      <c r="U809" s="720"/>
      <c r="V809" s="720"/>
      <c r="W809" s="720"/>
      <c r="X809" s="720"/>
      <c r="Y809" s="720"/>
      <c r="Z809" s="720"/>
      <c r="AA809" s="720"/>
      <c r="AB809" s="720"/>
    </row>
    <row r="810" spans="1:28" ht="12.75" customHeight="1">
      <c r="A810" s="902"/>
      <c r="B810" s="903"/>
      <c r="C810" s="720"/>
      <c r="D810" s="720"/>
      <c r="E810" s="720"/>
      <c r="F810" s="720"/>
      <c r="G810" s="906"/>
      <c r="H810" s="720"/>
      <c r="I810" s="720"/>
      <c r="J810" s="720"/>
      <c r="K810" s="907"/>
      <c r="L810" s="720"/>
      <c r="M810" s="720"/>
      <c r="N810" s="720"/>
      <c r="O810" s="720"/>
      <c r="P810" s="720"/>
      <c r="Q810" s="720"/>
      <c r="R810" s="720"/>
      <c r="S810" s="720"/>
      <c r="T810" s="720"/>
      <c r="U810" s="720"/>
      <c r="V810" s="720"/>
      <c r="W810" s="720"/>
      <c r="X810" s="720"/>
      <c r="Y810" s="720"/>
      <c r="Z810" s="720"/>
      <c r="AA810" s="720"/>
      <c r="AB810" s="720"/>
    </row>
    <row r="811" spans="1:28" ht="12.75" customHeight="1">
      <c r="A811" s="902"/>
      <c r="B811" s="903"/>
      <c r="C811" s="720"/>
      <c r="D811" s="720"/>
      <c r="E811" s="720"/>
      <c r="F811" s="720"/>
      <c r="G811" s="906"/>
      <c r="H811" s="720"/>
      <c r="I811" s="720"/>
      <c r="J811" s="720"/>
      <c r="K811" s="907"/>
      <c r="L811" s="720"/>
      <c r="M811" s="720"/>
      <c r="N811" s="720"/>
      <c r="O811" s="720"/>
      <c r="P811" s="720"/>
      <c r="Q811" s="720"/>
      <c r="R811" s="720"/>
      <c r="S811" s="720"/>
      <c r="T811" s="720"/>
      <c r="U811" s="720"/>
      <c r="V811" s="720"/>
      <c r="W811" s="720"/>
      <c r="X811" s="720"/>
      <c r="Y811" s="720"/>
      <c r="Z811" s="720"/>
      <c r="AA811" s="720"/>
      <c r="AB811" s="720"/>
    </row>
    <row r="812" spans="1:28" ht="12.75" customHeight="1">
      <c r="A812" s="902"/>
      <c r="B812" s="903"/>
      <c r="C812" s="720"/>
      <c r="D812" s="720"/>
      <c r="E812" s="720"/>
      <c r="F812" s="720"/>
      <c r="G812" s="906"/>
      <c r="H812" s="720"/>
      <c r="I812" s="720"/>
      <c r="J812" s="720"/>
      <c r="K812" s="907"/>
      <c r="L812" s="720"/>
      <c r="M812" s="720"/>
      <c r="N812" s="720"/>
      <c r="O812" s="720"/>
      <c r="P812" s="720"/>
      <c r="Q812" s="720"/>
      <c r="R812" s="720"/>
      <c r="S812" s="720"/>
      <c r="T812" s="720"/>
      <c r="U812" s="720"/>
      <c r="V812" s="720"/>
      <c r="W812" s="720"/>
      <c r="X812" s="720"/>
      <c r="Y812" s="720"/>
      <c r="Z812" s="720"/>
      <c r="AA812" s="720"/>
      <c r="AB812" s="720"/>
    </row>
    <row r="813" spans="1:28" ht="12.75" customHeight="1">
      <c r="A813" s="902"/>
      <c r="B813" s="903"/>
      <c r="C813" s="720"/>
      <c r="D813" s="720"/>
      <c r="E813" s="720"/>
      <c r="F813" s="720"/>
      <c r="G813" s="906"/>
      <c r="H813" s="720"/>
      <c r="I813" s="720"/>
      <c r="J813" s="720"/>
      <c r="K813" s="907"/>
      <c r="L813" s="720"/>
      <c r="M813" s="720"/>
      <c r="N813" s="720"/>
      <c r="O813" s="720"/>
      <c r="P813" s="720"/>
      <c r="Q813" s="720"/>
      <c r="R813" s="720"/>
      <c r="S813" s="720"/>
      <c r="T813" s="720"/>
      <c r="U813" s="720"/>
      <c r="V813" s="720"/>
      <c r="W813" s="720"/>
      <c r="X813" s="720"/>
      <c r="Y813" s="720"/>
      <c r="Z813" s="720"/>
      <c r="AA813" s="720"/>
      <c r="AB813" s="720"/>
    </row>
    <row r="814" spans="1:28" ht="12.75" customHeight="1">
      <c r="A814" s="902"/>
      <c r="B814" s="903"/>
      <c r="C814" s="720"/>
      <c r="D814" s="720"/>
      <c r="E814" s="720"/>
      <c r="F814" s="720"/>
      <c r="G814" s="906"/>
      <c r="H814" s="720"/>
      <c r="I814" s="720"/>
      <c r="J814" s="720"/>
      <c r="K814" s="907"/>
      <c r="L814" s="720"/>
      <c r="M814" s="720"/>
      <c r="N814" s="720"/>
      <c r="O814" s="720"/>
      <c r="P814" s="720"/>
      <c r="Q814" s="720"/>
      <c r="R814" s="720"/>
      <c r="S814" s="720"/>
      <c r="T814" s="720"/>
      <c r="U814" s="720"/>
      <c r="V814" s="720"/>
      <c r="W814" s="720"/>
      <c r="X814" s="720"/>
      <c r="Y814" s="720"/>
      <c r="Z814" s="720"/>
      <c r="AA814" s="720"/>
      <c r="AB814" s="720"/>
    </row>
    <row r="815" spans="1:28" ht="12.75" customHeight="1">
      <c r="A815" s="902"/>
      <c r="B815" s="903"/>
      <c r="C815" s="720"/>
      <c r="D815" s="720"/>
      <c r="E815" s="720"/>
      <c r="F815" s="720"/>
      <c r="G815" s="906"/>
      <c r="H815" s="720"/>
      <c r="I815" s="720"/>
      <c r="J815" s="720"/>
      <c r="K815" s="907"/>
      <c r="L815" s="720"/>
      <c r="M815" s="720"/>
      <c r="N815" s="720"/>
      <c r="O815" s="720"/>
      <c r="P815" s="720"/>
      <c r="Q815" s="720"/>
      <c r="R815" s="720"/>
      <c r="S815" s="720"/>
      <c r="T815" s="720"/>
      <c r="U815" s="720"/>
      <c r="V815" s="720"/>
      <c r="W815" s="720"/>
      <c r="X815" s="720"/>
      <c r="Y815" s="720"/>
      <c r="Z815" s="720"/>
      <c r="AA815" s="720"/>
      <c r="AB815" s="720"/>
    </row>
    <row r="816" spans="1:28" ht="12.75" customHeight="1">
      <c r="A816" s="902"/>
      <c r="B816" s="903"/>
      <c r="C816" s="720"/>
      <c r="D816" s="720"/>
      <c r="E816" s="720"/>
      <c r="F816" s="720"/>
      <c r="G816" s="906"/>
      <c r="H816" s="720"/>
      <c r="I816" s="720"/>
      <c r="J816" s="720"/>
      <c r="K816" s="907"/>
      <c r="L816" s="720"/>
      <c r="M816" s="720"/>
      <c r="N816" s="720"/>
      <c r="O816" s="720"/>
      <c r="P816" s="720"/>
      <c r="Q816" s="720"/>
      <c r="R816" s="720"/>
      <c r="S816" s="720"/>
      <c r="T816" s="720"/>
      <c r="U816" s="720"/>
      <c r="V816" s="720"/>
      <c r="W816" s="720"/>
      <c r="X816" s="720"/>
      <c r="Y816" s="720"/>
      <c r="Z816" s="720"/>
      <c r="AA816" s="720"/>
      <c r="AB816" s="720"/>
    </row>
    <row r="817" spans="1:28" ht="12.75" customHeight="1">
      <c r="A817" s="902"/>
      <c r="B817" s="903"/>
      <c r="C817" s="720"/>
      <c r="D817" s="720"/>
      <c r="E817" s="720"/>
      <c r="F817" s="720"/>
      <c r="G817" s="906"/>
      <c r="H817" s="720"/>
      <c r="I817" s="720"/>
      <c r="J817" s="720"/>
      <c r="K817" s="907"/>
      <c r="L817" s="720"/>
      <c r="M817" s="720"/>
      <c r="N817" s="720"/>
      <c r="O817" s="720"/>
      <c r="P817" s="720"/>
      <c r="Q817" s="720"/>
      <c r="R817" s="720"/>
      <c r="S817" s="720"/>
      <c r="T817" s="720"/>
      <c r="U817" s="720"/>
      <c r="V817" s="720"/>
      <c r="W817" s="720"/>
      <c r="X817" s="720"/>
      <c r="Y817" s="720"/>
      <c r="Z817" s="720"/>
      <c r="AA817" s="720"/>
      <c r="AB817" s="720"/>
    </row>
    <row r="818" spans="1:28" ht="12.75" customHeight="1">
      <c r="A818" s="902"/>
      <c r="B818" s="903"/>
      <c r="C818" s="720"/>
      <c r="D818" s="720"/>
      <c r="E818" s="720"/>
      <c r="F818" s="720"/>
      <c r="G818" s="906"/>
      <c r="H818" s="720"/>
      <c r="I818" s="720"/>
      <c r="J818" s="720"/>
      <c r="K818" s="907"/>
      <c r="L818" s="720"/>
      <c r="M818" s="720"/>
      <c r="N818" s="720"/>
      <c r="O818" s="720"/>
      <c r="P818" s="720"/>
      <c r="Q818" s="720"/>
      <c r="R818" s="720"/>
      <c r="S818" s="720"/>
      <c r="T818" s="720"/>
      <c r="U818" s="720"/>
      <c r="V818" s="720"/>
      <c r="W818" s="720"/>
      <c r="X818" s="720"/>
      <c r="Y818" s="720"/>
      <c r="Z818" s="720"/>
      <c r="AA818" s="720"/>
      <c r="AB818" s="720"/>
    </row>
    <row r="819" spans="1:28" ht="12.75" customHeight="1">
      <c r="A819" s="902"/>
      <c r="B819" s="903"/>
      <c r="C819" s="720"/>
      <c r="D819" s="720"/>
      <c r="E819" s="720"/>
      <c r="F819" s="720"/>
      <c r="G819" s="906"/>
      <c r="H819" s="720"/>
      <c r="I819" s="720"/>
      <c r="J819" s="720"/>
      <c r="K819" s="907"/>
      <c r="L819" s="720"/>
      <c r="M819" s="720"/>
      <c r="N819" s="720"/>
      <c r="O819" s="720"/>
      <c r="P819" s="720"/>
      <c r="Q819" s="720"/>
      <c r="R819" s="720"/>
      <c r="S819" s="720"/>
      <c r="T819" s="720"/>
      <c r="U819" s="720"/>
      <c r="V819" s="720"/>
      <c r="W819" s="720"/>
      <c r="X819" s="720"/>
      <c r="Y819" s="720"/>
      <c r="Z819" s="720"/>
      <c r="AA819" s="720"/>
      <c r="AB819" s="720"/>
    </row>
    <row r="820" spans="1:28" ht="12.75" customHeight="1">
      <c r="A820" s="902"/>
      <c r="B820" s="903"/>
      <c r="C820" s="720"/>
      <c r="D820" s="720"/>
      <c r="E820" s="720"/>
      <c r="F820" s="720"/>
      <c r="G820" s="906"/>
      <c r="H820" s="720"/>
      <c r="I820" s="720"/>
      <c r="J820" s="720"/>
      <c r="K820" s="907"/>
      <c r="L820" s="720"/>
      <c r="M820" s="720"/>
      <c r="N820" s="720"/>
      <c r="O820" s="720"/>
      <c r="P820" s="720"/>
      <c r="Q820" s="720"/>
      <c r="R820" s="720"/>
      <c r="S820" s="720"/>
      <c r="T820" s="720"/>
      <c r="U820" s="720"/>
      <c r="V820" s="720"/>
      <c r="W820" s="720"/>
      <c r="X820" s="720"/>
      <c r="Y820" s="720"/>
      <c r="Z820" s="720"/>
      <c r="AA820" s="720"/>
      <c r="AB820" s="720"/>
    </row>
    <row r="821" spans="1:28" ht="12.75" customHeight="1">
      <c r="A821" s="902"/>
      <c r="B821" s="903"/>
      <c r="C821" s="720"/>
      <c r="D821" s="720"/>
      <c r="E821" s="720"/>
      <c r="F821" s="720"/>
      <c r="G821" s="906"/>
      <c r="H821" s="720"/>
      <c r="I821" s="720"/>
      <c r="J821" s="720"/>
      <c r="K821" s="907"/>
      <c r="L821" s="720"/>
      <c r="M821" s="720"/>
      <c r="N821" s="720"/>
      <c r="O821" s="720"/>
      <c r="P821" s="720"/>
      <c r="Q821" s="720"/>
      <c r="R821" s="720"/>
      <c r="S821" s="720"/>
      <c r="T821" s="720"/>
      <c r="U821" s="720"/>
      <c r="V821" s="720"/>
      <c r="W821" s="720"/>
      <c r="X821" s="720"/>
      <c r="Y821" s="720"/>
      <c r="Z821" s="720"/>
      <c r="AA821" s="720"/>
      <c r="AB821" s="720"/>
    </row>
    <row r="822" spans="1:28" ht="12.75" customHeight="1">
      <c r="A822" s="902"/>
      <c r="B822" s="903"/>
      <c r="C822" s="720"/>
      <c r="D822" s="720"/>
      <c r="E822" s="720"/>
      <c r="F822" s="720"/>
      <c r="G822" s="906"/>
      <c r="H822" s="720"/>
      <c r="I822" s="720"/>
      <c r="J822" s="720"/>
      <c r="K822" s="907"/>
      <c r="L822" s="720"/>
      <c r="M822" s="720"/>
      <c r="N822" s="720"/>
      <c r="O822" s="720"/>
      <c r="P822" s="720"/>
      <c r="Q822" s="720"/>
      <c r="R822" s="720"/>
      <c r="S822" s="720"/>
      <c r="T822" s="720"/>
      <c r="U822" s="720"/>
      <c r="V822" s="720"/>
      <c r="W822" s="720"/>
      <c r="X822" s="720"/>
      <c r="Y822" s="720"/>
      <c r="Z822" s="720"/>
      <c r="AA822" s="720"/>
      <c r="AB822" s="720"/>
    </row>
    <row r="823" spans="1:28" ht="12.75" customHeight="1">
      <c r="A823" s="902"/>
      <c r="B823" s="903"/>
      <c r="C823" s="720"/>
      <c r="D823" s="720"/>
      <c r="E823" s="720"/>
      <c r="F823" s="720"/>
      <c r="G823" s="906"/>
      <c r="H823" s="720"/>
      <c r="I823" s="720"/>
      <c r="J823" s="720"/>
      <c r="K823" s="907"/>
      <c r="L823" s="720"/>
      <c r="M823" s="720"/>
      <c r="N823" s="720"/>
      <c r="O823" s="720"/>
      <c r="P823" s="720"/>
      <c r="Q823" s="720"/>
      <c r="R823" s="720"/>
      <c r="S823" s="720"/>
      <c r="T823" s="720"/>
      <c r="U823" s="720"/>
      <c r="V823" s="720"/>
      <c r="W823" s="720"/>
      <c r="X823" s="720"/>
      <c r="Y823" s="720"/>
      <c r="Z823" s="720"/>
      <c r="AA823" s="720"/>
      <c r="AB823" s="720"/>
    </row>
    <row r="824" spans="1:28" ht="12.75" customHeight="1">
      <c r="A824" s="902"/>
      <c r="B824" s="903"/>
      <c r="C824" s="720"/>
      <c r="D824" s="720"/>
      <c r="E824" s="720"/>
      <c r="F824" s="720"/>
      <c r="G824" s="906"/>
      <c r="H824" s="720"/>
      <c r="I824" s="720"/>
      <c r="J824" s="720"/>
      <c r="K824" s="907"/>
      <c r="L824" s="720"/>
      <c r="M824" s="720"/>
      <c r="N824" s="720"/>
      <c r="O824" s="720"/>
      <c r="P824" s="720"/>
      <c r="Q824" s="720"/>
      <c r="R824" s="720"/>
      <c r="S824" s="720"/>
      <c r="T824" s="720"/>
      <c r="U824" s="720"/>
      <c r="V824" s="720"/>
      <c r="W824" s="720"/>
      <c r="X824" s="720"/>
      <c r="Y824" s="720"/>
      <c r="Z824" s="720"/>
      <c r="AA824" s="720"/>
      <c r="AB824" s="720"/>
    </row>
    <row r="825" spans="1:28" ht="12.75" customHeight="1">
      <c r="A825" s="902"/>
      <c r="B825" s="903"/>
      <c r="C825" s="720"/>
      <c r="D825" s="720"/>
      <c r="E825" s="720"/>
      <c r="F825" s="720"/>
      <c r="G825" s="906"/>
      <c r="H825" s="720"/>
      <c r="I825" s="720"/>
      <c r="J825" s="720"/>
      <c r="K825" s="907"/>
      <c r="L825" s="720"/>
      <c r="M825" s="720"/>
      <c r="N825" s="720"/>
      <c r="O825" s="720"/>
      <c r="P825" s="720"/>
      <c r="Q825" s="720"/>
      <c r="R825" s="720"/>
      <c r="S825" s="720"/>
      <c r="T825" s="720"/>
      <c r="U825" s="720"/>
      <c r="V825" s="720"/>
      <c r="W825" s="720"/>
      <c r="X825" s="720"/>
      <c r="Y825" s="720"/>
      <c r="Z825" s="720"/>
      <c r="AA825" s="720"/>
      <c r="AB825" s="720"/>
    </row>
    <row r="826" spans="1:28" ht="12.75" customHeight="1">
      <c r="A826" s="902"/>
      <c r="B826" s="903"/>
      <c r="C826" s="720"/>
      <c r="D826" s="720"/>
      <c r="E826" s="720"/>
      <c r="F826" s="720"/>
      <c r="G826" s="906"/>
      <c r="H826" s="720"/>
      <c r="I826" s="720"/>
      <c r="J826" s="720"/>
      <c r="K826" s="907"/>
      <c r="L826" s="720"/>
      <c r="M826" s="720"/>
      <c r="N826" s="720"/>
      <c r="O826" s="720"/>
      <c r="P826" s="720"/>
      <c r="Q826" s="720"/>
      <c r="R826" s="720"/>
      <c r="S826" s="720"/>
      <c r="T826" s="720"/>
      <c r="U826" s="720"/>
      <c r="V826" s="720"/>
      <c r="W826" s="720"/>
      <c r="X826" s="720"/>
      <c r="Y826" s="720"/>
      <c r="Z826" s="720"/>
      <c r="AA826" s="720"/>
      <c r="AB826" s="720"/>
    </row>
    <row r="827" spans="1:28" ht="12.75" customHeight="1">
      <c r="A827" s="902"/>
      <c r="B827" s="903"/>
      <c r="C827" s="720"/>
      <c r="D827" s="720"/>
      <c r="E827" s="720"/>
      <c r="F827" s="720"/>
      <c r="G827" s="906"/>
      <c r="H827" s="720"/>
      <c r="I827" s="720"/>
      <c r="J827" s="720"/>
      <c r="K827" s="907"/>
      <c r="L827" s="720"/>
      <c r="M827" s="720"/>
      <c r="N827" s="720"/>
      <c r="O827" s="720"/>
      <c r="P827" s="720"/>
      <c r="Q827" s="720"/>
      <c r="R827" s="720"/>
      <c r="S827" s="720"/>
      <c r="T827" s="720"/>
      <c r="U827" s="720"/>
      <c r="V827" s="720"/>
      <c r="W827" s="720"/>
      <c r="X827" s="720"/>
      <c r="Y827" s="720"/>
      <c r="Z827" s="720"/>
      <c r="AA827" s="720"/>
      <c r="AB827" s="720"/>
    </row>
    <row r="828" spans="1:28" ht="12.75" customHeight="1">
      <c r="A828" s="902"/>
      <c r="B828" s="903"/>
      <c r="C828" s="720"/>
      <c r="D828" s="720"/>
      <c r="E828" s="720"/>
      <c r="F828" s="720"/>
      <c r="G828" s="906"/>
      <c r="H828" s="720"/>
      <c r="I828" s="720"/>
      <c r="J828" s="720"/>
      <c r="K828" s="907"/>
      <c r="L828" s="720"/>
      <c r="M828" s="720"/>
      <c r="N828" s="720"/>
      <c r="O828" s="720"/>
      <c r="P828" s="720"/>
      <c r="Q828" s="720"/>
      <c r="R828" s="720"/>
      <c r="S828" s="720"/>
      <c r="T828" s="720"/>
      <c r="U828" s="720"/>
      <c r="V828" s="720"/>
      <c r="W828" s="720"/>
      <c r="X828" s="720"/>
      <c r="Y828" s="720"/>
      <c r="Z828" s="720"/>
      <c r="AA828" s="720"/>
      <c r="AB828" s="720"/>
    </row>
    <row r="829" spans="1:28" ht="12.75" customHeight="1">
      <c r="A829" s="902"/>
      <c r="B829" s="903"/>
      <c r="C829" s="720"/>
      <c r="D829" s="720"/>
      <c r="E829" s="720"/>
      <c r="F829" s="720"/>
      <c r="G829" s="906"/>
      <c r="H829" s="720"/>
      <c r="I829" s="720"/>
      <c r="J829" s="720"/>
      <c r="K829" s="907"/>
      <c r="L829" s="720"/>
      <c r="M829" s="720"/>
      <c r="N829" s="720"/>
      <c r="O829" s="720"/>
      <c r="P829" s="720"/>
      <c r="Q829" s="720"/>
      <c r="R829" s="720"/>
      <c r="S829" s="720"/>
      <c r="T829" s="720"/>
      <c r="U829" s="720"/>
      <c r="V829" s="720"/>
      <c r="W829" s="720"/>
      <c r="X829" s="720"/>
      <c r="Y829" s="720"/>
      <c r="Z829" s="720"/>
      <c r="AA829" s="720"/>
      <c r="AB829" s="720"/>
    </row>
    <row r="830" spans="1:28" ht="12.75" customHeight="1">
      <c r="A830" s="902"/>
      <c r="B830" s="903"/>
      <c r="C830" s="720"/>
      <c r="D830" s="720"/>
      <c r="E830" s="720"/>
      <c r="F830" s="720"/>
      <c r="G830" s="906"/>
      <c r="H830" s="720"/>
      <c r="I830" s="720"/>
      <c r="J830" s="720"/>
      <c r="K830" s="907"/>
      <c r="L830" s="720"/>
      <c r="M830" s="720"/>
      <c r="N830" s="720"/>
      <c r="O830" s="720"/>
      <c r="P830" s="720"/>
      <c r="Q830" s="720"/>
      <c r="R830" s="720"/>
      <c r="S830" s="720"/>
      <c r="T830" s="720"/>
      <c r="U830" s="720"/>
      <c r="V830" s="720"/>
      <c r="W830" s="720"/>
      <c r="X830" s="720"/>
      <c r="Y830" s="720"/>
      <c r="Z830" s="720"/>
      <c r="AA830" s="720"/>
      <c r="AB830" s="720"/>
    </row>
    <row r="831" spans="1:28" ht="12.75" customHeight="1">
      <c r="A831" s="902"/>
      <c r="B831" s="903"/>
      <c r="C831" s="720"/>
      <c r="D831" s="720"/>
      <c r="E831" s="720"/>
      <c r="F831" s="720"/>
      <c r="G831" s="906"/>
      <c r="H831" s="720"/>
      <c r="I831" s="720"/>
      <c r="J831" s="720"/>
      <c r="K831" s="907"/>
      <c r="L831" s="720"/>
      <c r="M831" s="720"/>
      <c r="N831" s="720"/>
      <c r="O831" s="720"/>
      <c r="P831" s="720"/>
      <c r="Q831" s="720"/>
      <c r="R831" s="720"/>
      <c r="S831" s="720"/>
      <c r="T831" s="720"/>
      <c r="U831" s="720"/>
      <c r="V831" s="720"/>
      <c r="W831" s="720"/>
      <c r="X831" s="720"/>
      <c r="Y831" s="720"/>
      <c r="Z831" s="720"/>
      <c r="AA831" s="720"/>
      <c r="AB831" s="720"/>
    </row>
    <row r="832" spans="1:28" ht="12.75" customHeight="1">
      <c r="A832" s="902"/>
      <c r="B832" s="903"/>
      <c r="C832" s="720"/>
      <c r="D832" s="720"/>
      <c r="E832" s="720"/>
      <c r="F832" s="720"/>
      <c r="G832" s="906"/>
      <c r="H832" s="720"/>
      <c r="I832" s="720"/>
      <c r="J832" s="720"/>
      <c r="K832" s="907"/>
      <c r="L832" s="720"/>
      <c r="M832" s="720"/>
      <c r="N832" s="720"/>
      <c r="O832" s="720"/>
      <c r="P832" s="720"/>
      <c r="Q832" s="720"/>
      <c r="R832" s="720"/>
      <c r="S832" s="720"/>
      <c r="T832" s="720"/>
      <c r="U832" s="720"/>
      <c r="V832" s="720"/>
      <c r="W832" s="720"/>
      <c r="X832" s="720"/>
      <c r="Y832" s="720"/>
      <c r="Z832" s="720"/>
      <c r="AA832" s="720"/>
      <c r="AB832" s="720"/>
    </row>
    <row r="833" spans="1:28" ht="12.75" customHeight="1">
      <c r="A833" s="902"/>
      <c r="B833" s="903"/>
      <c r="C833" s="720"/>
      <c r="D833" s="720"/>
      <c r="E833" s="720"/>
      <c r="F833" s="720"/>
      <c r="G833" s="906"/>
      <c r="H833" s="720"/>
      <c r="I833" s="720"/>
      <c r="J833" s="720"/>
      <c r="K833" s="907"/>
      <c r="L833" s="720"/>
      <c r="M833" s="720"/>
      <c r="N833" s="720"/>
      <c r="O833" s="720"/>
      <c r="P833" s="720"/>
      <c r="Q833" s="720"/>
      <c r="R833" s="720"/>
      <c r="S833" s="720"/>
      <c r="T833" s="720"/>
      <c r="U833" s="720"/>
      <c r="V833" s="720"/>
      <c r="W833" s="720"/>
      <c r="X833" s="720"/>
      <c r="Y833" s="720"/>
      <c r="Z833" s="720"/>
      <c r="AA833" s="720"/>
      <c r="AB833" s="720"/>
    </row>
    <row r="834" spans="1:28" ht="12.75" customHeight="1">
      <c r="A834" s="902"/>
      <c r="B834" s="903"/>
      <c r="C834" s="720"/>
      <c r="D834" s="720"/>
      <c r="E834" s="720"/>
      <c r="F834" s="720"/>
      <c r="G834" s="906"/>
      <c r="H834" s="720"/>
      <c r="I834" s="720"/>
      <c r="J834" s="720"/>
      <c r="K834" s="907"/>
      <c r="L834" s="720"/>
      <c r="M834" s="720"/>
      <c r="N834" s="720"/>
      <c r="O834" s="720"/>
      <c r="P834" s="720"/>
      <c r="Q834" s="720"/>
      <c r="R834" s="720"/>
      <c r="S834" s="720"/>
      <c r="T834" s="720"/>
      <c r="U834" s="720"/>
      <c r="V834" s="720"/>
      <c r="W834" s="720"/>
      <c r="X834" s="720"/>
      <c r="Y834" s="720"/>
      <c r="Z834" s="720"/>
      <c r="AA834" s="720"/>
      <c r="AB834" s="720"/>
    </row>
    <row r="835" spans="1:28" ht="12.75" customHeight="1">
      <c r="A835" s="902"/>
      <c r="B835" s="903"/>
      <c r="C835" s="720"/>
      <c r="D835" s="720"/>
      <c r="E835" s="720"/>
      <c r="F835" s="720"/>
      <c r="G835" s="906"/>
      <c r="H835" s="720"/>
      <c r="I835" s="720"/>
      <c r="J835" s="720"/>
      <c r="K835" s="907"/>
      <c r="L835" s="720"/>
      <c r="M835" s="720"/>
      <c r="N835" s="720"/>
      <c r="O835" s="720"/>
      <c r="P835" s="720"/>
      <c r="Q835" s="720"/>
      <c r="R835" s="720"/>
      <c r="S835" s="720"/>
      <c r="T835" s="720"/>
      <c r="U835" s="720"/>
      <c r="V835" s="720"/>
      <c r="W835" s="720"/>
      <c r="X835" s="720"/>
      <c r="Y835" s="720"/>
      <c r="Z835" s="720"/>
      <c r="AA835" s="720"/>
      <c r="AB835" s="720"/>
    </row>
    <row r="836" spans="1:28" ht="12.75" customHeight="1">
      <c r="A836" s="902"/>
      <c r="B836" s="903"/>
      <c r="C836" s="720"/>
      <c r="D836" s="720"/>
      <c r="E836" s="720"/>
      <c r="F836" s="720"/>
      <c r="G836" s="906"/>
      <c r="H836" s="720"/>
      <c r="I836" s="720"/>
      <c r="J836" s="720"/>
      <c r="K836" s="907"/>
      <c r="L836" s="720"/>
      <c r="M836" s="720"/>
      <c r="N836" s="720"/>
      <c r="O836" s="720"/>
      <c r="P836" s="720"/>
      <c r="Q836" s="720"/>
      <c r="R836" s="720"/>
      <c r="S836" s="720"/>
      <c r="T836" s="720"/>
      <c r="U836" s="720"/>
      <c r="V836" s="720"/>
      <c r="W836" s="720"/>
      <c r="X836" s="720"/>
      <c r="Y836" s="720"/>
      <c r="Z836" s="720"/>
      <c r="AA836" s="720"/>
      <c r="AB836" s="720"/>
    </row>
    <row r="837" spans="1:28" ht="12.75" customHeight="1">
      <c r="A837" s="902"/>
      <c r="B837" s="903"/>
      <c r="C837" s="720"/>
      <c r="D837" s="720"/>
      <c r="E837" s="720"/>
      <c r="F837" s="720"/>
      <c r="G837" s="906"/>
      <c r="H837" s="720"/>
      <c r="I837" s="720"/>
      <c r="J837" s="720"/>
      <c r="K837" s="907"/>
      <c r="L837" s="720"/>
      <c r="M837" s="720"/>
      <c r="N837" s="720"/>
      <c r="O837" s="720"/>
      <c r="P837" s="720"/>
      <c r="Q837" s="720"/>
      <c r="R837" s="720"/>
      <c r="S837" s="720"/>
      <c r="T837" s="720"/>
      <c r="U837" s="720"/>
      <c r="V837" s="720"/>
      <c r="W837" s="720"/>
      <c r="X837" s="720"/>
      <c r="Y837" s="720"/>
      <c r="Z837" s="720"/>
      <c r="AA837" s="720"/>
      <c r="AB837" s="720"/>
    </row>
    <row r="838" spans="1:28" ht="12.75" customHeight="1">
      <c r="A838" s="902"/>
      <c r="B838" s="903"/>
      <c r="C838" s="720"/>
      <c r="D838" s="720"/>
      <c r="E838" s="720"/>
      <c r="F838" s="720"/>
      <c r="G838" s="906"/>
      <c r="H838" s="720"/>
      <c r="I838" s="720"/>
      <c r="J838" s="720"/>
      <c r="K838" s="907"/>
      <c r="L838" s="720"/>
      <c r="M838" s="720"/>
      <c r="N838" s="720"/>
      <c r="O838" s="720"/>
      <c r="P838" s="720"/>
      <c r="Q838" s="720"/>
      <c r="R838" s="720"/>
      <c r="S838" s="720"/>
      <c r="T838" s="720"/>
      <c r="U838" s="720"/>
      <c r="V838" s="720"/>
      <c r="W838" s="720"/>
      <c r="X838" s="720"/>
      <c r="Y838" s="720"/>
      <c r="Z838" s="720"/>
      <c r="AA838" s="720"/>
      <c r="AB838" s="720"/>
    </row>
    <row r="839" spans="1:28" ht="12.75" customHeight="1">
      <c r="A839" s="902"/>
      <c r="B839" s="903"/>
      <c r="C839" s="720"/>
      <c r="D839" s="720"/>
      <c r="E839" s="720"/>
      <c r="F839" s="720"/>
      <c r="G839" s="906"/>
      <c r="H839" s="720"/>
      <c r="I839" s="720"/>
      <c r="J839" s="720"/>
      <c r="K839" s="907"/>
      <c r="L839" s="720"/>
      <c r="M839" s="720"/>
      <c r="N839" s="720"/>
      <c r="O839" s="720"/>
      <c r="P839" s="720"/>
      <c r="Q839" s="720"/>
      <c r="R839" s="720"/>
      <c r="S839" s="720"/>
      <c r="T839" s="720"/>
      <c r="U839" s="720"/>
      <c r="V839" s="720"/>
      <c r="W839" s="720"/>
      <c r="X839" s="720"/>
      <c r="Y839" s="720"/>
      <c r="Z839" s="720"/>
      <c r="AA839" s="720"/>
      <c r="AB839" s="720"/>
    </row>
    <row r="840" spans="1:28" ht="12.75" customHeight="1">
      <c r="A840" s="902"/>
      <c r="B840" s="903"/>
      <c r="C840" s="720"/>
      <c r="D840" s="720"/>
      <c r="E840" s="720"/>
      <c r="F840" s="720"/>
      <c r="G840" s="906"/>
      <c r="H840" s="720"/>
      <c r="I840" s="720"/>
      <c r="J840" s="720"/>
      <c r="K840" s="907"/>
      <c r="L840" s="720"/>
      <c r="M840" s="720"/>
      <c r="N840" s="720"/>
      <c r="O840" s="720"/>
      <c r="P840" s="720"/>
      <c r="Q840" s="720"/>
      <c r="R840" s="720"/>
      <c r="S840" s="720"/>
      <c r="T840" s="720"/>
      <c r="U840" s="720"/>
      <c r="V840" s="720"/>
      <c r="W840" s="720"/>
      <c r="X840" s="720"/>
      <c r="Y840" s="720"/>
      <c r="Z840" s="720"/>
      <c r="AA840" s="720"/>
      <c r="AB840" s="720"/>
    </row>
    <row r="841" spans="1:28" ht="12.75" customHeight="1">
      <c r="A841" s="902"/>
      <c r="B841" s="903"/>
      <c r="C841" s="720"/>
      <c r="D841" s="720"/>
      <c r="E841" s="720"/>
      <c r="F841" s="720"/>
      <c r="G841" s="906"/>
      <c r="H841" s="720"/>
      <c r="I841" s="720"/>
      <c r="J841" s="720"/>
      <c r="K841" s="907"/>
      <c r="L841" s="720"/>
      <c r="M841" s="720"/>
      <c r="N841" s="720"/>
      <c r="O841" s="720"/>
      <c r="P841" s="720"/>
      <c r="Q841" s="720"/>
      <c r="R841" s="720"/>
      <c r="S841" s="720"/>
      <c r="T841" s="720"/>
      <c r="U841" s="720"/>
      <c r="V841" s="720"/>
      <c r="W841" s="720"/>
      <c r="X841" s="720"/>
      <c r="Y841" s="720"/>
      <c r="Z841" s="720"/>
      <c r="AA841" s="720"/>
      <c r="AB841" s="720"/>
    </row>
    <row r="842" spans="1:28" ht="12.75" customHeight="1">
      <c r="A842" s="902"/>
      <c r="B842" s="903"/>
      <c r="C842" s="720"/>
      <c r="D842" s="720"/>
      <c r="E842" s="720"/>
      <c r="F842" s="720"/>
      <c r="G842" s="906"/>
      <c r="H842" s="720"/>
      <c r="I842" s="720"/>
      <c r="J842" s="720"/>
      <c r="K842" s="907"/>
      <c r="L842" s="720"/>
      <c r="M842" s="720"/>
      <c r="N842" s="720"/>
      <c r="O842" s="720"/>
      <c r="P842" s="720"/>
      <c r="Q842" s="720"/>
      <c r="R842" s="720"/>
      <c r="S842" s="720"/>
      <c r="T842" s="720"/>
      <c r="U842" s="720"/>
      <c r="V842" s="720"/>
      <c r="W842" s="720"/>
      <c r="X842" s="720"/>
      <c r="Y842" s="720"/>
      <c r="Z842" s="720"/>
      <c r="AA842" s="720"/>
      <c r="AB842" s="720"/>
    </row>
    <row r="843" spans="1:28" ht="12.75" customHeight="1">
      <c r="A843" s="902"/>
      <c r="B843" s="903"/>
      <c r="C843" s="720"/>
      <c r="D843" s="720"/>
      <c r="E843" s="720"/>
      <c r="F843" s="720"/>
      <c r="G843" s="906"/>
      <c r="H843" s="720"/>
      <c r="I843" s="720"/>
      <c r="J843" s="720"/>
      <c r="K843" s="907"/>
      <c r="L843" s="720"/>
      <c r="M843" s="720"/>
      <c r="N843" s="720"/>
      <c r="O843" s="720"/>
      <c r="P843" s="720"/>
      <c r="Q843" s="720"/>
      <c r="R843" s="720"/>
      <c r="S843" s="720"/>
      <c r="T843" s="720"/>
      <c r="U843" s="720"/>
      <c r="V843" s="720"/>
      <c r="W843" s="720"/>
      <c r="X843" s="720"/>
      <c r="Y843" s="720"/>
      <c r="Z843" s="720"/>
      <c r="AA843" s="720"/>
      <c r="AB843" s="720"/>
    </row>
    <row r="844" spans="1:28" ht="12.75" customHeight="1">
      <c r="A844" s="902"/>
      <c r="B844" s="903"/>
      <c r="C844" s="720"/>
      <c r="D844" s="720"/>
      <c r="E844" s="720"/>
      <c r="F844" s="720"/>
      <c r="G844" s="906"/>
      <c r="H844" s="720"/>
      <c r="I844" s="720"/>
      <c r="J844" s="720"/>
      <c r="K844" s="907"/>
      <c r="L844" s="720"/>
      <c r="M844" s="720"/>
      <c r="N844" s="720"/>
      <c r="O844" s="720"/>
      <c r="P844" s="720"/>
      <c r="Q844" s="720"/>
      <c r="R844" s="720"/>
      <c r="S844" s="720"/>
      <c r="T844" s="720"/>
      <c r="U844" s="720"/>
      <c r="V844" s="720"/>
      <c r="W844" s="720"/>
      <c r="X844" s="720"/>
      <c r="Y844" s="720"/>
      <c r="Z844" s="720"/>
      <c r="AA844" s="720"/>
      <c r="AB844" s="720"/>
    </row>
    <row r="845" spans="1:28" ht="12.75" customHeight="1">
      <c r="A845" s="902"/>
      <c r="B845" s="903"/>
      <c r="C845" s="720"/>
      <c r="D845" s="720"/>
      <c r="E845" s="720"/>
      <c r="F845" s="720"/>
      <c r="G845" s="906"/>
      <c r="H845" s="720"/>
      <c r="I845" s="720"/>
      <c r="J845" s="720"/>
      <c r="K845" s="907"/>
      <c r="L845" s="720"/>
      <c r="M845" s="720"/>
      <c r="N845" s="720"/>
      <c r="O845" s="720"/>
      <c r="P845" s="720"/>
      <c r="Q845" s="720"/>
      <c r="R845" s="720"/>
      <c r="S845" s="720"/>
      <c r="T845" s="720"/>
      <c r="U845" s="720"/>
      <c r="V845" s="720"/>
      <c r="W845" s="720"/>
      <c r="X845" s="720"/>
      <c r="Y845" s="720"/>
      <c r="Z845" s="720"/>
      <c r="AA845" s="720"/>
      <c r="AB845" s="720"/>
    </row>
    <row r="846" spans="1:28" ht="12.75" customHeight="1">
      <c r="A846" s="902"/>
      <c r="B846" s="903"/>
      <c r="C846" s="720"/>
      <c r="D846" s="720"/>
      <c r="E846" s="720"/>
      <c r="F846" s="720"/>
      <c r="G846" s="906"/>
      <c r="H846" s="720"/>
      <c r="I846" s="720"/>
      <c r="J846" s="720"/>
      <c r="K846" s="907"/>
      <c r="L846" s="720"/>
      <c r="M846" s="720"/>
      <c r="N846" s="720"/>
      <c r="O846" s="720"/>
      <c r="P846" s="720"/>
      <c r="Q846" s="720"/>
      <c r="R846" s="720"/>
      <c r="S846" s="720"/>
      <c r="T846" s="720"/>
      <c r="U846" s="720"/>
      <c r="V846" s="720"/>
      <c r="W846" s="720"/>
      <c r="X846" s="720"/>
      <c r="Y846" s="720"/>
      <c r="Z846" s="720"/>
      <c r="AA846" s="720"/>
      <c r="AB846" s="720"/>
    </row>
    <row r="847" spans="1:28" ht="12.75" customHeight="1">
      <c r="A847" s="902"/>
      <c r="B847" s="903"/>
      <c r="C847" s="720"/>
      <c r="D847" s="720"/>
      <c r="E847" s="720"/>
      <c r="F847" s="720"/>
      <c r="G847" s="906"/>
      <c r="H847" s="720"/>
      <c r="I847" s="720"/>
      <c r="J847" s="720"/>
      <c r="K847" s="907"/>
      <c r="L847" s="720"/>
      <c r="M847" s="720"/>
      <c r="N847" s="720"/>
      <c r="O847" s="720"/>
      <c r="P847" s="720"/>
      <c r="Q847" s="720"/>
      <c r="R847" s="720"/>
      <c r="S847" s="720"/>
      <c r="T847" s="720"/>
      <c r="U847" s="720"/>
      <c r="V847" s="720"/>
      <c r="W847" s="720"/>
      <c r="X847" s="720"/>
      <c r="Y847" s="720"/>
      <c r="Z847" s="720"/>
      <c r="AA847" s="720"/>
      <c r="AB847" s="720"/>
    </row>
    <row r="848" spans="1:28" ht="12.75" customHeight="1">
      <c r="A848" s="902"/>
      <c r="B848" s="903"/>
      <c r="C848" s="720"/>
      <c r="D848" s="720"/>
      <c r="E848" s="720"/>
      <c r="F848" s="720"/>
      <c r="G848" s="906"/>
      <c r="H848" s="720"/>
      <c r="I848" s="720"/>
      <c r="J848" s="720"/>
      <c r="K848" s="907"/>
      <c r="L848" s="720"/>
      <c r="M848" s="720"/>
      <c r="N848" s="720"/>
      <c r="O848" s="720"/>
      <c r="P848" s="720"/>
      <c r="Q848" s="720"/>
      <c r="R848" s="720"/>
      <c r="S848" s="720"/>
      <c r="T848" s="720"/>
      <c r="U848" s="720"/>
      <c r="V848" s="720"/>
      <c r="W848" s="720"/>
      <c r="X848" s="720"/>
      <c r="Y848" s="720"/>
      <c r="Z848" s="720"/>
      <c r="AA848" s="720"/>
      <c r="AB848" s="720"/>
    </row>
    <row r="849" spans="1:28" ht="12.75" customHeight="1">
      <c r="A849" s="902"/>
      <c r="B849" s="903"/>
      <c r="C849" s="720"/>
      <c r="D849" s="720"/>
      <c r="E849" s="720"/>
      <c r="F849" s="720"/>
      <c r="G849" s="906"/>
      <c r="H849" s="720"/>
      <c r="I849" s="720"/>
      <c r="J849" s="720"/>
      <c r="K849" s="907"/>
      <c r="L849" s="720"/>
      <c r="M849" s="720"/>
      <c r="N849" s="720"/>
      <c r="O849" s="720"/>
      <c r="P849" s="720"/>
      <c r="Q849" s="720"/>
      <c r="R849" s="720"/>
      <c r="S849" s="720"/>
      <c r="T849" s="720"/>
      <c r="U849" s="720"/>
      <c r="V849" s="720"/>
      <c r="W849" s="720"/>
      <c r="X849" s="720"/>
      <c r="Y849" s="720"/>
      <c r="Z849" s="720"/>
      <c r="AA849" s="720"/>
      <c r="AB849" s="720"/>
    </row>
    <row r="850" spans="1:28" ht="12.75" customHeight="1">
      <c r="A850" s="902"/>
      <c r="B850" s="903"/>
      <c r="C850" s="720"/>
      <c r="D850" s="720"/>
      <c r="E850" s="720"/>
      <c r="F850" s="720"/>
      <c r="G850" s="906"/>
      <c r="H850" s="720"/>
      <c r="I850" s="720"/>
      <c r="J850" s="720"/>
      <c r="K850" s="907"/>
      <c r="L850" s="720"/>
      <c r="M850" s="720"/>
      <c r="N850" s="720"/>
      <c r="O850" s="720"/>
      <c r="P850" s="720"/>
      <c r="Q850" s="720"/>
      <c r="R850" s="720"/>
      <c r="S850" s="720"/>
      <c r="T850" s="720"/>
      <c r="U850" s="720"/>
      <c r="V850" s="720"/>
      <c r="W850" s="720"/>
      <c r="X850" s="720"/>
      <c r="Y850" s="720"/>
      <c r="Z850" s="720"/>
      <c r="AA850" s="720"/>
      <c r="AB850" s="720"/>
    </row>
    <row r="851" spans="1:28" ht="12.75" customHeight="1">
      <c r="A851" s="902"/>
      <c r="B851" s="903"/>
      <c r="C851" s="720"/>
      <c r="D851" s="720"/>
      <c r="E851" s="720"/>
      <c r="F851" s="720"/>
      <c r="G851" s="906"/>
      <c r="H851" s="720"/>
      <c r="I851" s="720"/>
      <c r="J851" s="720"/>
      <c r="K851" s="907"/>
      <c r="L851" s="720"/>
      <c r="M851" s="720"/>
      <c r="N851" s="720"/>
      <c r="O851" s="720"/>
      <c r="P851" s="720"/>
      <c r="Q851" s="720"/>
      <c r="R851" s="720"/>
      <c r="S851" s="720"/>
      <c r="T851" s="720"/>
      <c r="U851" s="720"/>
      <c r="V851" s="720"/>
      <c r="W851" s="720"/>
      <c r="X851" s="720"/>
      <c r="Y851" s="720"/>
      <c r="Z851" s="720"/>
      <c r="AA851" s="720"/>
      <c r="AB851" s="720"/>
    </row>
    <row r="852" spans="1:28" ht="12.75" customHeight="1">
      <c r="A852" s="902"/>
      <c r="B852" s="903"/>
      <c r="C852" s="720"/>
      <c r="D852" s="720"/>
      <c r="E852" s="720"/>
      <c r="F852" s="720"/>
      <c r="G852" s="906"/>
      <c r="H852" s="720"/>
      <c r="I852" s="720"/>
      <c r="J852" s="720"/>
      <c r="K852" s="907"/>
      <c r="L852" s="720"/>
      <c r="M852" s="720"/>
      <c r="N852" s="720"/>
      <c r="O852" s="720"/>
      <c r="P852" s="720"/>
      <c r="Q852" s="720"/>
      <c r="R852" s="720"/>
      <c r="S852" s="720"/>
      <c r="T852" s="720"/>
      <c r="U852" s="720"/>
      <c r="V852" s="720"/>
      <c r="W852" s="720"/>
      <c r="X852" s="720"/>
      <c r="Y852" s="720"/>
      <c r="Z852" s="720"/>
      <c r="AA852" s="720"/>
      <c r="AB852" s="720"/>
    </row>
    <row r="853" spans="1:28" ht="12.75" customHeight="1">
      <c r="A853" s="902"/>
      <c r="B853" s="903"/>
      <c r="C853" s="720"/>
      <c r="D853" s="720"/>
      <c r="E853" s="720"/>
      <c r="F853" s="720"/>
      <c r="G853" s="906"/>
      <c r="H853" s="720"/>
      <c r="I853" s="720"/>
      <c r="J853" s="720"/>
      <c r="K853" s="907"/>
      <c r="L853" s="720"/>
      <c r="M853" s="720"/>
      <c r="N853" s="720"/>
      <c r="O853" s="720"/>
      <c r="P853" s="720"/>
      <c r="Q853" s="720"/>
      <c r="R853" s="720"/>
      <c r="S853" s="720"/>
      <c r="T853" s="720"/>
      <c r="U853" s="720"/>
      <c r="V853" s="720"/>
      <c r="W853" s="720"/>
      <c r="X853" s="720"/>
      <c r="Y853" s="720"/>
      <c r="Z853" s="720"/>
      <c r="AA853" s="720"/>
      <c r="AB853" s="720"/>
    </row>
    <row r="854" spans="1:28" ht="12.75" customHeight="1">
      <c r="A854" s="902"/>
      <c r="B854" s="903"/>
      <c r="C854" s="720"/>
      <c r="D854" s="720"/>
      <c r="E854" s="720"/>
      <c r="F854" s="720"/>
      <c r="G854" s="906"/>
      <c r="H854" s="720"/>
      <c r="I854" s="720"/>
      <c r="J854" s="720"/>
      <c r="K854" s="907"/>
      <c r="L854" s="720"/>
      <c r="M854" s="720"/>
      <c r="N854" s="720"/>
      <c r="O854" s="720"/>
      <c r="P854" s="720"/>
      <c r="Q854" s="720"/>
      <c r="R854" s="720"/>
      <c r="S854" s="720"/>
      <c r="T854" s="720"/>
      <c r="U854" s="720"/>
      <c r="V854" s="720"/>
      <c r="W854" s="720"/>
      <c r="X854" s="720"/>
      <c r="Y854" s="720"/>
      <c r="Z854" s="720"/>
      <c r="AA854" s="720"/>
      <c r="AB854" s="720"/>
    </row>
    <row r="855" spans="1:28" ht="12.75" customHeight="1">
      <c r="A855" s="902"/>
      <c r="B855" s="903"/>
      <c r="C855" s="720"/>
      <c r="D855" s="720"/>
      <c r="E855" s="720"/>
      <c r="F855" s="720"/>
      <c r="G855" s="906"/>
      <c r="H855" s="720"/>
      <c r="I855" s="720"/>
      <c r="J855" s="720"/>
      <c r="K855" s="907"/>
      <c r="L855" s="720"/>
      <c r="M855" s="720"/>
      <c r="N855" s="720"/>
      <c r="O855" s="720"/>
      <c r="P855" s="720"/>
      <c r="Q855" s="720"/>
      <c r="R855" s="720"/>
      <c r="S855" s="720"/>
      <c r="T855" s="720"/>
      <c r="U855" s="720"/>
      <c r="V855" s="720"/>
      <c r="W855" s="720"/>
      <c r="X855" s="720"/>
      <c r="Y855" s="720"/>
      <c r="Z855" s="720"/>
      <c r="AA855" s="720"/>
      <c r="AB855" s="720"/>
    </row>
    <row r="856" spans="1:28" ht="12.75" customHeight="1">
      <c r="A856" s="902"/>
      <c r="B856" s="903"/>
      <c r="C856" s="720"/>
      <c r="D856" s="720"/>
      <c r="E856" s="720"/>
      <c r="F856" s="720"/>
      <c r="G856" s="906"/>
      <c r="H856" s="720"/>
      <c r="I856" s="720"/>
      <c r="J856" s="720"/>
      <c r="K856" s="907"/>
      <c r="L856" s="720"/>
      <c r="M856" s="720"/>
      <c r="N856" s="720"/>
      <c r="O856" s="720"/>
      <c r="P856" s="720"/>
      <c r="Q856" s="720"/>
      <c r="R856" s="720"/>
      <c r="S856" s="720"/>
      <c r="T856" s="720"/>
      <c r="U856" s="720"/>
      <c r="V856" s="720"/>
      <c r="W856" s="720"/>
      <c r="X856" s="720"/>
      <c r="Y856" s="720"/>
      <c r="Z856" s="720"/>
      <c r="AA856" s="720"/>
      <c r="AB856" s="720"/>
    </row>
    <row r="857" spans="1:28" ht="12.75" customHeight="1">
      <c r="A857" s="902"/>
      <c r="B857" s="903"/>
      <c r="C857" s="720"/>
      <c r="D857" s="720"/>
      <c r="E857" s="720"/>
      <c r="F857" s="720"/>
      <c r="G857" s="906"/>
      <c r="H857" s="720"/>
      <c r="I857" s="720"/>
      <c r="J857" s="720"/>
      <c r="K857" s="907"/>
      <c r="L857" s="720"/>
      <c r="M857" s="720"/>
      <c r="N857" s="720"/>
      <c r="O857" s="720"/>
      <c r="P857" s="720"/>
      <c r="Q857" s="720"/>
      <c r="R857" s="720"/>
      <c r="S857" s="720"/>
      <c r="T857" s="720"/>
      <c r="U857" s="720"/>
      <c r="V857" s="720"/>
      <c r="W857" s="720"/>
      <c r="X857" s="720"/>
      <c r="Y857" s="720"/>
      <c r="Z857" s="720"/>
      <c r="AA857" s="720"/>
      <c r="AB857" s="720"/>
    </row>
    <row r="858" spans="1:28" ht="12.75" customHeight="1">
      <c r="A858" s="902"/>
      <c r="B858" s="903"/>
      <c r="C858" s="720"/>
      <c r="D858" s="720"/>
      <c r="E858" s="720"/>
      <c r="F858" s="720"/>
      <c r="G858" s="906"/>
      <c r="H858" s="720"/>
      <c r="I858" s="720"/>
      <c r="J858" s="720"/>
      <c r="K858" s="907"/>
      <c r="L858" s="720"/>
      <c r="M858" s="720"/>
      <c r="N858" s="720"/>
      <c r="O858" s="720"/>
      <c r="P858" s="720"/>
      <c r="Q858" s="720"/>
      <c r="R858" s="720"/>
      <c r="S858" s="720"/>
      <c r="T858" s="720"/>
      <c r="U858" s="720"/>
      <c r="V858" s="720"/>
      <c r="W858" s="720"/>
      <c r="X858" s="720"/>
      <c r="Y858" s="720"/>
      <c r="Z858" s="720"/>
      <c r="AA858" s="720"/>
      <c r="AB858" s="720"/>
    </row>
    <row r="859" spans="1:28" ht="12.75" customHeight="1">
      <c r="A859" s="902"/>
      <c r="B859" s="903"/>
      <c r="C859" s="720"/>
      <c r="D859" s="720"/>
      <c r="E859" s="720"/>
      <c r="F859" s="720"/>
      <c r="G859" s="906"/>
      <c r="H859" s="720"/>
      <c r="I859" s="720"/>
      <c r="J859" s="720"/>
      <c r="K859" s="907"/>
      <c r="L859" s="720"/>
      <c r="M859" s="720"/>
      <c r="N859" s="720"/>
      <c r="O859" s="720"/>
      <c r="P859" s="720"/>
      <c r="Q859" s="720"/>
      <c r="R859" s="720"/>
      <c r="S859" s="720"/>
      <c r="T859" s="720"/>
      <c r="U859" s="720"/>
      <c r="V859" s="720"/>
      <c r="W859" s="720"/>
      <c r="X859" s="720"/>
      <c r="Y859" s="720"/>
      <c r="Z859" s="720"/>
      <c r="AA859" s="720"/>
      <c r="AB859" s="720"/>
    </row>
    <row r="860" spans="1:28" ht="12.75" customHeight="1">
      <c r="A860" s="902"/>
      <c r="B860" s="903"/>
      <c r="C860" s="720"/>
      <c r="D860" s="720"/>
      <c r="E860" s="720"/>
      <c r="F860" s="720"/>
      <c r="G860" s="906"/>
      <c r="H860" s="720"/>
      <c r="I860" s="720"/>
      <c r="J860" s="720"/>
      <c r="K860" s="907"/>
      <c r="L860" s="720"/>
      <c r="M860" s="720"/>
      <c r="N860" s="720"/>
      <c r="O860" s="720"/>
      <c r="P860" s="720"/>
      <c r="Q860" s="720"/>
      <c r="R860" s="720"/>
      <c r="S860" s="720"/>
      <c r="T860" s="720"/>
      <c r="U860" s="720"/>
      <c r="V860" s="720"/>
      <c r="W860" s="720"/>
      <c r="X860" s="720"/>
      <c r="Y860" s="720"/>
      <c r="Z860" s="720"/>
      <c r="AA860" s="720"/>
      <c r="AB860" s="720"/>
    </row>
    <row r="861" spans="1:28" ht="12.75" customHeight="1">
      <c r="A861" s="902"/>
      <c r="B861" s="903"/>
      <c r="C861" s="720"/>
      <c r="D861" s="720"/>
      <c r="E861" s="720"/>
      <c r="F861" s="720"/>
      <c r="G861" s="906"/>
      <c r="H861" s="720"/>
      <c r="I861" s="720"/>
      <c r="J861" s="720"/>
      <c r="K861" s="907"/>
      <c r="L861" s="720"/>
      <c r="M861" s="720"/>
      <c r="N861" s="720"/>
      <c r="O861" s="720"/>
      <c r="P861" s="720"/>
      <c r="Q861" s="720"/>
      <c r="R861" s="720"/>
      <c r="S861" s="720"/>
      <c r="T861" s="720"/>
      <c r="U861" s="720"/>
      <c r="V861" s="720"/>
      <c r="W861" s="720"/>
      <c r="X861" s="720"/>
      <c r="Y861" s="720"/>
      <c r="Z861" s="720"/>
      <c r="AA861" s="720"/>
      <c r="AB861" s="720"/>
    </row>
    <row r="862" spans="1:28" ht="12.75" customHeight="1">
      <c r="A862" s="902"/>
      <c r="B862" s="903"/>
      <c r="C862" s="720"/>
      <c r="D862" s="720"/>
      <c r="E862" s="720"/>
      <c r="F862" s="720"/>
      <c r="G862" s="906"/>
      <c r="H862" s="720"/>
      <c r="I862" s="720"/>
      <c r="J862" s="720"/>
      <c r="K862" s="907"/>
      <c r="L862" s="720"/>
      <c r="M862" s="720"/>
      <c r="N862" s="720"/>
      <c r="O862" s="720"/>
      <c r="P862" s="720"/>
      <c r="Q862" s="720"/>
      <c r="R862" s="720"/>
      <c r="S862" s="720"/>
      <c r="T862" s="720"/>
      <c r="U862" s="720"/>
      <c r="V862" s="720"/>
      <c r="W862" s="720"/>
      <c r="X862" s="720"/>
      <c r="Y862" s="720"/>
      <c r="Z862" s="720"/>
      <c r="AA862" s="720"/>
      <c r="AB862" s="720"/>
    </row>
    <row r="863" spans="1:28" ht="12.75" customHeight="1">
      <c r="A863" s="902"/>
      <c r="B863" s="903"/>
      <c r="C863" s="720"/>
      <c r="D863" s="720"/>
      <c r="E863" s="720"/>
      <c r="F863" s="720"/>
      <c r="G863" s="906"/>
      <c r="H863" s="720"/>
      <c r="I863" s="720"/>
      <c r="J863" s="720"/>
      <c r="K863" s="907"/>
      <c r="L863" s="720"/>
      <c r="M863" s="720"/>
      <c r="N863" s="720"/>
      <c r="O863" s="720"/>
      <c r="P863" s="720"/>
      <c r="Q863" s="720"/>
      <c r="R863" s="720"/>
      <c r="S863" s="720"/>
      <c r="T863" s="720"/>
      <c r="U863" s="720"/>
      <c r="V863" s="720"/>
      <c r="W863" s="720"/>
      <c r="X863" s="720"/>
      <c r="Y863" s="720"/>
      <c r="Z863" s="720"/>
      <c r="AA863" s="720"/>
      <c r="AB863" s="720"/>
    </row>
    <row r="864" spans="1:28" ht="12.75" customHeight="1">
      <c r="A864" s="902"/>
      <c r="B864" s="903"/>
      <c r="C864" s="720"/>
      <c r="D864" s="720"/>
      <c r="E864" s="720"/>
      <c r="F864" s="720"/>
      <c r="G864" s="906"/>
      <c r="H864" s="720"/>
      <c r="I864" s="720"/>
      <c r="J864" s="720"/>
      <c r="K864" s="907"/>
      <c r="L864" s="720"/>
      <c r="M864" s="720"/>
      <c r="N864" s="720"/>
      <c r="O864" s="720"/>
      <c r="P864" s="720"/>
      <c r="Q864" s="720"/>
      <c r="R864" s="720"/>
      <c r="S864" s="720"/>
      <c r="T864" s="720"/>
      <c r="U864" s="720"/>
      <c r="V864" s="720"/>
      <c r="W864" s="720"/>
      <c r="X864" s="720"/>
      <c r="Y864" s="720"/>
      <c r="Z864" s="720"/>
      <c r="AA864" s="720"/>
      <c r="AB864" s="720"/>
    </row>
    <row r="865" spans="1:28" ht="12.75" customHeight="1">
      <c r="A865" s="902"/>
      <c r="B865" s="903"/>
      <c r="C865" s="720"/>
      <c r="D865" s="720"/>
      <c r="E865" s="720"/>
      <c r="F865" s="720"/>
      <c r="G865" s="906"/>
      <c r="H865" s="720"/>
      <c r="I865" s="720"/>
      <c r="J865" s="720"/>
      <c r="K865" s="907"/>
      <c r="L865" s="720"/>
      <c r="M865" s="720"/>
      <c r="N865" s="720"/>
      <c r="O865" s="720"/>
      <c r="P865" s="720"/>
      <c r="Q865" s="720"/>
      <c r="R865" s="720"/>
      <c r="S865" s="720"/>
      <c r="T865" s="720"/>
      <c r="U865" s="720"/>
      <c r="V865" s="720"/>
      <c r="W865" s="720"/>
      <c r="X865" s="720"/>
      <c r="Y865" s="720"/>
      <c r="Z865" s="720"/>
      <c r="AA865" s="720"/>
      <c r="AB865" s="720"/>
    </row>
    <row r="866" spans="1:28" ht="12.75" customHeight="1">
      <c r="A866" s="902"/>
      <c r="B866" s="903"/>
      <c r="C866" s="720"/>
      <c r="D866" s="720"/>
      <c r="E866" s="720"/>
      <c r="F866" s="720"/>
      <c r="G866" s="906"/>
      <c r="H866" s="720"/>
      <c r="I866" s="720"/>
      <c r="J866" s="720"/>
      <c r="K866" s="907"/>
      <c r="L866" s="720"/>
      <c r="M866" s="720"/>
      <c r="N866" s="720"/>
      <c r="O866" s="720"/>
      <c r="P866" s="720"/>
      <c r="Q866" s="720"/>
      <c r="R866" s="720"/>
      <c r="S866" s="720"/>
      <c r="T866" s="720"/>
      <c r="U866" s="720"/>
      <c r="V866" s="720"/>
      <c r="W866" s="720"/>
      <c r="X866" s="720"/>
      <c r="Y866" s="720"/>
      <c r="Z866" s="720"/>
      <c r="AA866" s="720"/>
      <c r="AB866" s="720"/>
    </row>
    <row r="867" spans="1:28" ht="12.75" customHeight="1">
      <c r="A867" s="902"/>
      <c r="B867" s="903"/>
      <c r="C867" s="720"/>
      <c r="D867" s="720"/>
      <c r="E867" s="720"/>
      <c r="F867" s="720"/>
      <c r="G867" s="906"/>
      <c r="H867" s="720"/>
      <c r="I867" s="720"/>
      <c r="J867" s="720"/>
      <c r="K867" s="907"/>
      <c r="L867" s="720"/>
      <c r="M867" s="720"/>
      <c r="N867" s="720"/>
      <c r="O867" s="720"/>
      <c r="P867" s="720"/>
      <c r="Q867" s="720"/>
      <c r="R867" s="720"/>
      <c r="S867" s="720"/>
      <c r="T867" s="720"/>
      <c r="U867" s="720"/>
      <c r="V867" s="720"/>
      <c r="W867" s="720"/>
      <c r="X867" s="720"/>
      <c r="Y867" s="720"/>
      <c r="Z867" s="720"/>
      <c r="AA867" s="720"/>
      <c r="AB867" s="720"/>
    </row>
    <row r="868" spans="1:28" ht="12.75" customHeight="1">
      <c r="A868" s="902"/>
      <c r="B868" s="903"/>
      <c r="C868" s="720"/>
      <c r="D868" s="720"/>
      <c r="E868" s="720"/>
      <c r="F868" s="720"/>
      <c r="G868" s="906"/>
      <c r="H868" s="720"/>
      <c r="I868" s="720"/>
      <c r="J868" s="720"/>
      <c r="K868" s="907"/>
      <c r="L868" s="720"/>
      <c r="M868" s="720"/>
      <c r="N868" s="720"/>
      <c r="O868" s="720"/>
      <c r="P868" s="720"/>
      <c r="Q868" s="720"/>
      <c r="R868" s="720"/>
      <c r="S868" s="720"/>
      <c r="T868" s="720"/>
      <c r="U868" s="720"/>
      <c r="V868" s="720"/>
      <c r="W868" s="720"/>
      <c r="X868" s="720"/>
      <c r="Y868" s="720"/>
      <c r="Z868" s="720"/>
      <c r="AA868" s="720"/>
      <c r="AB868" s="720"/>
    </row>
    <row r="869" spans="1:28" ht="12.75" customHeight="1">
      <c r="A869" s="902"/>
      <c r="B869" s="903"/>
      <c r="C869" s="720"/>
      <c r="D869" s="720"/>
      <c r="E869" s="720"/>
      <c r="F869" s="720"/>
      <c r="G869" s="906"/>
      <c r="H869" s="720"/>
      <c r="I869" s="720"/>
      <c r="J869" s="720"/>
      <c r="K869" s="907"/>
      <c r="L869" s="720"/>
      <c r="M869" s="720"/>
      <c r="N869" s="720"/>
      <c r="O869" s="720"/>
      <c r="P869" s="720"/>
      <c r="Q869" s="720"/>
      <c r="R869" s="720"/>
      <c r="S869" s="720"/>
      <c r="T869" s="720"/>
      <c r="U869" s="720"/>
      <c r="V869" s="720"/>
      <c r="W869" s="720"/>
      <c r="X869" s="720"/>
      <c r="Y869" s="720"/>
      <c r="Z869" s="720"/>
      <c r="AA869" s="720"/>
      <c r="AB869" s="720"/>
    </row>
    <row r="870" spans="1:28" ht="12.75" customHeight="1">
      <c r="A870" s="902"/>
      <c r="B870" s="903"/>
      <c r="C870" s="720"/>
      <c r="D870" s="720"/>
      <c r="E870" s="720"/>
      <c r="F870" s="720"/>
      <c r="G870" s="906"/>
      <c r="H870" s="720"/>
      <c r="I870" s="720"/>
      <c r="J870" s="720"/>
      <c r="K870" s="907"/>
      <c r="L870" s="720"/>
      <c r="M870" s="720"/>
      <c r="N870" s="720"/>
      <c r="O870" s="720"/>
      <c r="P870" s="720"/>
      <c r="Q870" s="720"/>
      <c r="R870" s="720"/>
      <c r="S870" s="720"/>
      <c r="T870" s="720"/>
      <c r="U870" s="720"/>
      <c r="V870" s="720"/>
      <c r="W870" s="720"/>
      <c r="X870" s="720"/>
      <c r="Y870" s="720"/>
      <c r="Z870" s="720"/>
      <c r="AA870" s="720"/>
      <c r="AB870" s="720"/>
    </row>
    <row r="871" spans="1:28" ht="12.75" customHeight="1">
      <c r="A871" s="902"/>
      <c r="B871" s="903"/>
      <c r="C871" s="720"/>
      <c r="D871" s="720"/>
      <c r="E871" s="720"/>
      <c r="F871" s="720"/>
      <c r="G871" s="906"/>
      <c r="H871" s="720"/>
      <c r="I871" s="720"/>
      <c r="J871" s="720"/>
      <c r="K871" s="907"/>
      <c r="L871" s="720"/>
      <c r="M871" s="720"/>
      <c r="N871" s="720"/>
      <c r="O871" s="720"/>
      <c r="P871" s="720"/>
      <c r="Q871" s="720"/>
      <c r="R871" s="720"/>
      <c r="S871" s="720"/>
      <c r="T871" s="720"/>
      <c r="U871" s="720"/>
      <c r="V871" s="720"/>
      <c r="W871" s="720"/>
      <c r="X871" s="720"/>
      <c r="Y871" s="720"/>
      <c r="Z871" s="720"/>
      <c r="AA871" s="720"/>
      <c r="AB871" s="720"/>
    </row>
    <row r="872" spans="1:28" ht="12.75" customHeight="1">
      <c r="A872" s="902"/>
      <c r="B872" s="903"/>
      <c r="C872" s="720"/>
      <c r="D872" s="720"/>
      <c r="E872" s="720"/>
      <c r="F872" s="720"/>
      <c r="G872" s="906"/>
      <c r="H872" s="720"/>
      <c r="I872" s="720"/>
      <c r="J872" s="720"/>
      <c r="K872" s="907"/>
      <c r="L872" s="720"/>
      <c r="M872" s="720"/>
      <c r="N872" s="720"/>
      <c r="O872" s="720"/>
      <c r="P872" s="720"/>
      <c r="Q872" s="720"/>
      <c r="R872" s="720"/>
      <c r="S872" s="720"/>
      <c r="T872" s="720"/>
      <c r="U872" s="720"/>
      <c r="V872" s="720"/>
      <c r="W872" s="720"/>
      <c r="X872" s="720"/>
      <c r="Y872" s="720"/>
      <c r="Z872" s="720"/>
      <c r="AA872" s="720"/>
      <c r="AB872" s="720"/>
    </row>
    <row r="873" spans="1:28" ht="12.75" customHeight="1">
      <c r="A873" s="902"/>
      <c r="B873" s="903"/>
      <c r="C873" s="720"/>
      <c r="D873" s="720"/>
      <c r="E873" s="720"/>
      <c r="F873" s="720"/>
      <c r="G873" s="906"/>
      <c r="H873" s="720"/>
      <c r="I873" s="720"/>
      <c r="J873" s="720"/>
      <c r="K873" s="907"/>
      <c r="L873" s="720"/>
      <c r="M873" s="720"/>
      <c r="N873" s="720"/>
      <c r="O873" s="720"/>
      <c r="P873" s="720"/>
      <c r="Q873" s="720"/>
      <c r="R873" s="720"/>
      <c r="S873" s="720"/>
      <c r="T873" s="720"/>
      <c r="U873" s="720"/>
      <c r="V873" s="720"/>
      <c r="W873" s="720"/>
      <c r="X873" s="720"/>
      <c r="Y873" s="720"/>
      <c r="Z873" s="720"/>
      <c r="AA873" s="720"/>
      <c r="AB873" s="720"/>
    </row>
    <row r="874" spans="1:28" ht="12.75" customHeight="1">
      <c r="A874" s="902"/>
      <c r="B874" s="903"/>
      <c r="C874" s="720"/>
      <c r="D874" s="720"/>
      <c r="E874" s="720"/>
      <c r="F874" s="720"/>
      <c r="G874" s="906"/>
      <c r="H874" s="720"/>
      <c r="I874" s="720"/>
      <c r="J874" s="720"/>
      <c r="K874" s="907"/>
      <c r="L874" s="720"/>
      <c r="M874" s="720"/>
      <c r="N874" s="720"/>
      <c r="O874" s="720"/>
      <c r="P874" s="720"/>
      <c r="Q874" s="720"/>
      <c r="R874" s="720"/>
      <c r="S874" s="720"/>
      <c r="T874" s="720"/>
      <c r="U874" s="720"/>
      <c r="V874" s="720"/>
      <c r="W874" s="720"/>
      <c r="X874" s="720"/>
      <c r="Y874" s="720"/>
      <c r="Z874" s="720"/>
      <c r="AA874" s="720"/>
      <c r="AB874" s="720"/>
    </row>
    <row r="875" spans="1:28" ht="12.75" customHeight="1">
      <c r="A875" s="902"/>
      <c r="B875" s="903"/>
      <c r="C875" s="720"/>
      <c r="D875" s="720"/>
      <c r="E875" s="720"/>
      <c r="F875" s="720"/>
      <c r="G875" s="906"/>
      <c r="H875" s="720"/>
      <c r="I875" s="720"/>
      <c r="J875" s="720"/>
      <c r="K875" s="907"/>
      <c r="L875" s="720"/>
      <c r="M875" s="720"/>
      <c r="N875" s="720"/>
      <c r="O875" s="720"/>
      <c r="P875" s="720"/>
      <c r="Q875" s="720"/>
      <c r="R875" s="720"/>
      <c r="S875" s="720"/>
      <c r="T875" s="720"/>
      <c r="U875" s="720"/>
      <c r="V875" s="720"/>
      <c r="W875" s="720"/>
      <c r="X875" s="720"/>
      <c r="Y875" s="720"/>
      <c r="Z875" s="720"/>
      <c r="AA875" s="720"/>
      <c r="AB875" s="720"/>
    </row>
    <row r="876" spans="1:28" ht="12.75" customHeight="1">
      <c r="A876" s="902"/>
      <c r="B876" s="903"/>
      <c r="C876" s="720"/>
      <c r="D876" s="720"/>
      <c r="E876" s="720"/>
      <c r="F876" s="720"/>
      <c r="G876" s="906"/>
      <c r="H876" s="720"/>
      <c r="I876" s="720"/>
      <c r="J876" s="720"/>
      <c r="K876" s="907"/>
      <c r="L876" s="720"/>
      <c r="M876" s="720"/>
      <c r="N876" s="720"/>
      <c r="O876" s="720"/>
      <c r="P876" s="720"/>
      <c r="Q876" s="720"/>
      <c r="R876" s="720"/>
      <c r="S876" s="720"/>
      <c r="T876" s="720"/>
      <c r="U876" s="720"/>
      <c r="V876" s="720"/>
      <c r="W876" s="720"/>
      <c r="X876" s="720"/>
      <c r="Y876" s="720"/>
      <c r="Z876" s="720"/>
      <c r="AA876" s="720"/>
      <c r="AB876" s="720"/>
    </row>
    <row r="877" spans="1:28" ht="12.75" customHeight="1">
      <c r="A877" s="902"/>
      <c r="B877" s="903"/>
      <c r="C877" s="720"/>
      <c r="D877" s="720"/>
      <c r="E877" s="720"/>
      <c r="F877" s="720"/>
      <c r="G877" s="906"/>
      <c r="H877" s="720"/>
      <c r="I877" s="720"/>
      <c r="J877" s="720"/>
      <c r="K877" s="907"/>
      <c r="L877" s="720"/>
      <c r="M877" s="720"/>
      <c r="N877" s="720"/>
      <c r="O877" s="720"/>
      <c r="P877" s="720"/>
      <c r="Q877" s="720"/>
      <c r="R877" s="720"/>
      <c r="S877" s="720"/>
      <c r="T877" s="720"/>
      <c r="U877" s="720"/>
      <c r="V877" s="720"/>
      <c r="W877" s="720"/>
      <c r="X877" s="720"/>
      <c r="Y877" s="720"/>
      <c r="Z877" s="720"/>
      <c r="AA877" s="720"/>
      <c r="AB877" s="720"/>
    </row>
    <row r="878" spans="1:28" ht="12.75" customHeight="1">
      <c r="A878" s="902"/>
      <c r="B878" s="903"/>
      <c r="C878" s="720"/>
      <c r="D878" s="720"/>
      <c r="E878" s="720"/>
      <c r="F878" s="720"/>
      <c r="G878" s="906"/>
      <c r="H878" s="720"/>
      <c r="I878" s="720"/>
      <c r="J878" s="720"/>
      <c r="K878" s="907"/>
      <c r="L878" s="720"/>
      <c r="M878" s="720"/>
      <c r="N878" s="720"/>
      <c r="O878" s="720"/>
      <c r="P878" s="720"/>
      <c r="Q878" s="720"/>
      <c r="R878" s="720"/>
      <c r="S878" s="720"/>
      <c r="T878" s="720"/>
      <c r="U878" s="720"/>
      <c r="V878" s="720"/>
      <c r="W878" s="720"/>
      <c r="X878" s="720"/>
      <c r="Y878" s="720"/>
      <c r="Z878" s="720"/>
      <c r="AA878" s="720"/>
      <c r="AB878" s="720"/>
    </row>
    <row r="879" spans="1:28" ht="12.75" customHeight="1">
      <c r="A879" s="902"/>
      <c r="B879" s="903"/>
      <c r="C879" s="720"/>
      <c r="D879" s="720"/>
      <c r="E879" s="720"/>
      <c r="F879" s="720"/>
      <c r="G879" s="906"/>
      <c r="H879" s="720"/>
      <c r="I879" s="720"/>
      <c r="J879" s="720"/>
      <c r="K879" s="907"/>
      <c r="L879" s="720"/>
      <c r="M879" s="720"/>
      <c r="N879" s="720"/>
      <c r="O879" s="720"/>
      <c r="P879" s="720"/>
      <c r="Q879" s="720"/>
      <c r="R879" s="720"/>
      <c r="S879" s="720"/>
      <c r="T879" s="720"/>
      <c r="U879" s="720"/>
      <c r="V879" s="720"/>
      <c r="W879" s="720"/>
      <c r="X879" s="720"/>
      <c r="Y879" s="720"/>
      <c r="Z879" s="720"/>
      <c r="AA879" s="720"/>
      <c r="AB879" s="720"/>
    </row>
    <row r="880" spans="1:28" ht="12.75" customHeight="1">
      <c r="A880" s="902"/>
      <c r="B880" s="903"/>
      <c r="C880" s="720"/>
      <c r="D880" s="720"/>
      <c r="E880" s="720"/>
      <c r="F880" s="720"/>
      <c r="G880" s="906"/>
      <c r="H880" s="720"/>
      <c r="I880" s="720"/>
      <c r="J880" s="720"/>
      <c r="K880" s="907"/>
      <c r="L880" s="720"/>
      <c r="M880" s="720"/>
      <c r="N880" s="720"/>
      <c r="O880" s="720"/>
      <c r="P880" s="720"/>
      <c r="Q880" s="720"/>
      <c r="R880" s="720"/>
      <c r="S880" s="720"/>
      <c r="T880" s="720"/>
      <c r="U880" s="720"/>
      <c r="V880" s="720"/>
      <c r="W880" s="720"/>
      <c r="X880" s="720"/>
      <c r="Y880" s="720"/>
      <c r="Z880" s="720"/>
      <c r="AA880" s="720"/>
      <c r="AB880" s="720"/>
    </row>
    <row r="881" spans="1:28" ht="12.75" customHeight="1">
      <c r="A881" s="902"/>
      <c r="B881" s="903"/>
      <c r="C881" s="720"/>
      <c r="D881" s="720"/>
      <c r="E881" s="720"/>
      <c r="F881" s="720"/>
      <c r="G881" s="906"/>
      <c r="H881" s="720"/>
      <c r="I881" s="720"/>
      <c r="J881" s="720"/>
      <c r="K881" s="907"/>
      <c r="L881" s="720"/>
      <c r="M881" s="720"/>
      <c r="N881" s="720"/>
      <c r="O881" s="720"/>
      <c r="P881" s="720"/>
      <c r="Q881" s="720"/>
      <c r="R881" s="720"/>
      <c r="S881" s="720"/>
      <c r="T881" s="720"/>
      <c r="U881" s="720"/>
      <c r="V881" s="720"/>
      <c r="W881" s="720"/>
      <c r="X881" s="720"/>
      <c r="Y881" s="720"/>
      <c r="Z881" s="720"/>
      <c r="AA881" s="720"/>
      <c r="AB881" s="720"/>
    </row>
    <row r="882" spans="1:28" ht="12.75" customHeight="1">
      <c r="A882" s="902"/>
      <c r="B882" s="903"/>
      <c r="C882" s="720"/>
      <c r="D882" s="720"/>
      <c r="E882" s="720"/>
      <c r="F882" s="720"/>
      <c r="G882" s="906"/>
      <c r="H882" s="720"/>
      <c r="I882" s="720"/>
      <c r="J882" s="720"/>
      <c r="K882" s="907"/>
      <c r="L882" s="720"/>
      <c r="M882" s="720"/>
      <c r="N882" s="720"/>
      <c r="O882" s="720"/>
      <c r="P882" s="720"/>
      <c r="Q882" s="720"/>
      <c r="R882" s="720"/>
      <c r="S882" s="720"/>
      <c r="T882" s="720"/>
      <c r="U882" s="720"/>
      <c r="V882" s="720"/>
      <c r="W882" s="720"/>
      <c r="X882" s="720"/>
      <c r="Y882" s="720"/>
      <c r="Z882" s="720"/>
      <c r="AA882" s="720"/>
      <c r="AB882" s="720"/>
    </row>
    <row r="883" spans="1:28" ht="12.75" customHeight="1">
      <c r="A883" s="902"/>
      <c r="B883" s="903"/>
      <c r="C883" s="720"/>
      <c r="D883" s="720"/>
      <c r="E883" s="720"/>
      <c r="F883" s="720"/>
      <c r="G883" s="906"/>
      <c r="H883" s="720"/>
      <c r="I883" s="720"/>
      <c r="J883" s="720"/>
      <c r="K883" s="907"/>
      <c r="L883" s="720"/>
      <c r="M883" s="720"/>
      <c r="N883" s="720"/>
      <c r="O883" s="720"/>
      <c r="P883" s="720"/>
      <c r="Q883" s="720"/>
      <c r="R883" s="720"/>
      <c r="S883" s="720"/>
      <c r="T883" s="720"/>
      <c r="U883" s="720"/>
      <c r="V883" s="720"/>
      <c r="W883" s="720"/>
      <c r="X883" s="720"/>
      <c r="Y883" s="720"/>
      <c r="Z883" s="720"/>
      <c r="AA883" s="720"/>
      <c r="AB883" s="720"/>
    </row>
    <row r="884" spans="1:28" ht="12.75" customHeight="1">
      <c r="A884" s="902"/>
      <c r="B884" s="903"/>
      <c r="C884" s="720"/>
      <c r="D884" s="720"/>
      <c r="E884" s="720"/>
      <c r="F884" s="720"/>
      <c r="G884" s="906"/>
      <c r="H884" s="720"/>
      <c r="I884" s="720"/>
      <c r="J884" s="720"/>
      <c r="K884" s="907"/>
      <c r="L884" s="720"/>
      <c r="M884" s="720"/>
      <c r="N884" s="720"/>
      <c r="O884" s="720"/>
      <c r="P884" s="720"/>
      <c r="Q884" s="720"/>
      <c r="R884" s="720"/>
      <c r="S884" s="720"/>
      <c r="T884" s="720"/>
      <c r="U884" s="720"/>
      <c r="V884" s="720"/>
      <c r="W884" s="720"/>
      <c r="X884" s="720"/>
      <c r="Y884" s="720"/>
      <c r="Z884" s="720"/>
      <c r="AA884" s="720"/>
      <c r="AB884" s="720"/>
    </row>
    <row r="885" spans="1:28" ht="12.75" customHeight="1">
      <c r="A885" s="902"/>
      <c r="B885" s="903"/>
      <c r="C885" s="720"/>
      <c r="D885" s="720"/>
      <c r="E885" s="720"/>
      <c r="F885" s="720"/>
      <c r="G885" s="906"/>
      <c r="H885" s="720"/>
      <c r="I885" s="720"/>
      <c r="J885" s="720"/>
      <c r="K885" s="907"/>
      <c r="L885" s="720"/>
      <c r="M885" s="720"/>
      <c r="N885" s="720"/>
      <c r="O885" s="720"/>
      <c r="P885" s="720"/>
      <c r="Q885" s="720"/>
      <c r="R885" s="720"/>
      <c r="S885" s="720"/>
      <c r="T885" s="720"/>
      <c r="U885" s="720"/>
      <c r="V885" s="720"/>
      <c r="W885" s="720"/>
      <c r="X885" s="720"/>
      <c r="Y885" s="720"/>
      <c r="Z885" s="720"/>
      <c r="AA885" s="720"/>
      <c r="AB885" s="720"/>
    </row>
    <row r="886" spans="1:28" ht="12.75" customHeight="1">
      <c r="A886" s="902"/>
      <c r="B886" s="903"/>
      <c r="C886" s="720"/>
      <c r="D886" s="720"/>
      <c r="E886" s="720"/>
      <c r="F886" s="720"/>
      <c r="G886" s="906"/>
      <c r="H886" s="720"/>
      <c r="I886" s="720"/>
      <c r="J886" s="720"/>
      <c r="K886" s="907"/>
      <c r="L886" s="720"/>
      <c r="M886" s="720"/>
      <c r="N886" s="720"/>
      <c r="O886" s="720"/>
      <c r="P886" s="720"/>
      <c r="Q886" s="720"/>
      <c r="R886" s="720"/>
      <c r="S886" s="720"/>
      <c r="T886" s="720"/>
      <c r="U886" s="720"/>
      <c r="V886" s="720"/>
      <c r="W886" s="720"/>
      <c r="X886" s="720"/>
      <c r="Y886" s="720"/>
      <c r="Z886" s="720"/>
      <c r="AA886" s="720"/>
      <c r="AB886" s="720"/>
    </row>
    <row r="887" spans="1:28" ht="12.75" customHeight="1">
      <c r="A887" s="902"/>
      <c r="B887" s="903"/>
      <c r="C887" s="720"/>
      <c r="D887" s="720"/>
      <c r="E887" s="720"/>
      <c r="F887" s="720"/>
      <c r="G887" s="906"/>
      <c r="H887" s="720"/>
      <c r="I887" s="720"/>
      <c r="J887" s="720"/>
      <c r="K887" s="907"/>
      <c r="L887" s="720"/>
      <c r="M887" s="720"/>
      <c r="N887" s="720"/>
      <c r="O887" s="720"/>
      <c r="P887" s="720"/>
      <c r="Q887" s="720"/>
      <c r="R887" s="720"/>
      <c r="S887" s="720"/>
      <c r="T887" s="720"/>
      <c r="U887" s="720"/>
      <c r="V887" s="720"/>
      <c r="W887" s="720"/>
      <c r="X887" s="720"/>
      <c r="Y887" s="720"/>
      <c r="Z887" s="720"/>
      <c r="AA887" s="720"/>
      <c r="AB887" s="720"/>
    </row>
    <row r="888" spans="1:28" ht="12.75" customHeight="1">
      <c r="A888" s="902"/>
      <c r="B888" s="903"/>
      <c r="C888" s="720"/>
      <c r="D888" s="720"/>
      <c r="E888" s="720"/>
      <c r="F888" s="720"/>
      <c r="G888" s="906"/>
      <c r="H888" s="720"/>
      <c r="I888" s="720"/>
      <c r="J888" s="720"/>
      <c r="K888" s="907"/>
      <c r="L888" s="720"/>
      <c r="M888" s="720"/>
      <c r="N888" s="720"/>
      <c r="O888" s="720"/>
      <c r="P888" s="720"/>
      <c r="Q888" s="720"/>
      <c r="R888" s="720"/>
      <c r="S888" s="720"/>
      <c r="T888" s="720"/>
      <c r="U888" s="720"/>
      <c r="V888" s="720"/>
      <c r="W888" s="720"/>
      <c r="X888" s="720"/>
      <c r="Y888" s="720"/>
      <c r="Z888" s="720"/>
      <c r="AA888" s="720"/>
      <c r="AB888" s="720"/>
    </row>
    <row r="889" spans="1:28" ht="12.75" customHeight="1">
      <c r="A889" s="902"/>
      <c r="B889" s="903"/>
      <c r="C889" s="720"/>
      <c r="D889" s="720"/>
      <c r="E889" s="720"/>
      <c r="F889" s="720"/>
      <c r="G889" s="906"/>
      <c r="H889" s="720"/>
      <c r="I889" s="720"/>
      <c r="J889" s="720"/>
      <c r="K889" s="907"/>
      <c r="L889" s="720"/>
      <c r="M889" s="720"/>
      <c r="N889" s="720"/>
      <c r="O889" s="720"/>
      <c r="P889" s="720"/>
      <c r="Q889" s="720"/>
      <c r="R889" s="720"/>
      <c r="S889" s="720"/>
      <c r="T889" s="720"/>
      <c r="U889" s="720"/>
      <c r="V889" s="720"/>
      <c r="W889" s="720"/>
      <c r="X889" s="720"/>
      <c r="Y889" s="720"/>
      <c r="Z889" s="720"/>
      <c r="AA889" s="720"/>
      <c r="AB889" s="720"/>
    </row>
    <row r="890" spans="1:28" ht="12.75" customHeight="1">
      <c r="A890" s="902"/>
      <c r="B890" s="903"/>
      <c r="C890" s="720"/>
      <c r="D890" s="720"/>
      <c r="E890" s="720"/>
      <c r="F890" s="720"/>
      <c r="G890" s="906"/>
      <c r="H890" s="720"/>
      <c r="I890" s="720"/>
      <c r="J890" s="720"/>
      <c r="K890" s="907"/>
      <c r="L890" s="720"/>
      <c r="M890" s="720"/>
      <c r="N890" s="720"/>
      <c r="O890" s="720"/>
      <c r="P890" s="720"/>
      <c r="Q890" s="720"/>
      <c r="R890" s="720"/>
      <c r="S890" s="720"/>
      <c r="T890" s="720"/>
      <c r="U890" s="720"/>
      <c r="V890" s="720"/>
      <c r="W890" s="720"/>
      <c r="X890" s="720"/>
      <c r="Y890" s="720"/>
      <c r="Z890" s="720"/>
      <c r="AA890" s="720"/>
      <c r="AB890" s="720"/>
    </row>
    <row r="891" spans="1:28" ht="12.75" customHeight="1">
      <c r="A891" s="902"/>
      <c r="B891" s="903"/>
      <c r="C891" s="720"/>
      <c r="D891" s="720"/>
      <c r="E891" s="720"/>
      <c r="F891" s="720"/>
      <c r="G891" s="906"/>
      <c r="H891" s="720"/>
      <c r="I891" s="720"/>
      <c r="J891" s="720"/>
      <c r="K891" s="907"/>
      <c r="L891" s="720"/>
      <c r="M891" s="720"/>
      <c r="N891" s="720"/>
      <c r="O891" s="720"/>
      <c r="P891" s="720"/>
      <c r="Q891" s="720"/>
      <c r="R891" s="720"/>
      <c r="S891" s="720"/>
      <c r="T891" s="720"/>
      <c r="U891" s="720"/>
      <c r="V891" s="720"/>
      <c r="W891" s="720"/>
      <c r="X891" s="720"/>
      <c r="Y891" s="720"/>
      <c r="Z891" s="720"/>
      <c r="AA891" s="720"/>
      <c r="AB891" s="720"/>
    </row>
    <row r="892" spans="1:28" ht="12.75" customHeight="1">
      <c r="A892" s="902"/>
      <c r="B892" s="903"/>
      <c r="C892" s="720"/>
      <c r="D892" s="720"/>
      <c r="E892" s="720"/>
      <c r="F892" s="720"/>
      <c r="G892" s="906"/>
      <c r="H892" s="720"/>
      <c r="I892" s="720"/>
      <c r="J892" s="720"/>
      <c r="K892" s="907"/>
      <c r="L892" s="720"/>
      <c r="M892" s="720"/>
      <c r="N892" s="720"/>
      <c r="O892" s="720"/>
      <c r="P892" s="720"/>
      <c r="Q892" s="720"/>
      <c r="R892" s="720"/>
      <c r="S892" s="720"/>
      <c r="T892" s="720"/>
      <c r="U892" s="720"/>
      <c r="V892" s="720"/>
      <c r="W892" s="720"/>
      <c r="X892" s="720"/>
      <c r="Y892" s="720"/>
      <c r="Z892" s="720"/>
      <c r="AA892" s="720"/>
      <c r="AB892" s="720"/>
    </row>
    <row r="893" spans="1:28" ht="12.75" customHeight="1">
      <c r="A893" s="902"/>
      <c r="B893" s="903"/>
      <c r="C893" s="720"/>
      <c r="D893" s="720"/>
      <c r="E893" s="720"/>
      <c r="F893" s="720"/>
      <c r="G893" s="906"/>
      <c r="H893" s="720"/>
      <c r="I893" s="720"/>
      <c r="J893" s="720"/>
      <c r="K893" s="907"/>
      <c r="L893" s="720"/>
      <c r="M893" s="720"/>
      <c r="N893" s="720"/>
      <c r="O893" s="720"/>
      <c r="P893" s="720"/>
      <c r="Q893" s="720"/>
      <c r="R893" s="720"/>
      <c r="S893" s="720"/>
      <c r="T893" s="720"/>
      <c r="U893" s="720"/>
      <c r="V893" s="720"/>
      <c r="W893" s="720"/>
      <c r="X893" s="720"/>
      <c r="Y893" s="720"/>
      <c r="Z893" s="720"/>
      <c r="AA893" s="720"/>
      <c r="AB893" s="720"/>
    </row>
    <row r="894" spans="1:28" ht="12.75" customHeight="1">
      <c r="A894" s="902"/>
      <c r="B894" s="903"/>
      <c r="C894" s="720"/>
      <c r="D894" s="720"/>
      <c r="E894" s="720"/>
      <c r="F894" s="720"/>
      <c r="G894" s="906"/>
      <c r="H894" s="720"/>
      <c r="I894" s="720"/>
      <c r="J894" s="720"/>
      <c r="K894" s="907"/>
      <c r="L894" s="720"/>
      <c r="M894" s="720"/>
      <c r="N894" s="720"/>
      <c r="O894" s="720"/>
      <c r="P894" s="720"/>
      <c r="Q894" s="720"/>
      <c r="R894" s="720"/>
      <c r="S894" s="720"/>
      <c r="T894" s="720"/>
      <c r="U894" s="720"/>
      <c r="V894" s="720"/>
      <c r="W894" s="720"/>
      <c r="X894" s="720"/>
      <c r="Y894" s="720"/>
      <c r="Z894" s="720"/>
      <c r="AA894" s="720"/>
      <c r="AB894" s="720"/>
    </row>
    <row r="895" spans="1:28" ht="12.75" customHeight="1">
      <c r="A895" s="902"/>
      <c r="B895" s="903"/>
      <c r="C895" s="720"/>
      <c r="D895" s="720"/>
      <c r="E895" s="720"/>
      <c r="F895" s="720"/>
      <c r="G895" s="906"/>
      <c r="H895" s="720"/>
      <c r="I895" s="720"/>
      <c r="J895" s="720"/>
      <c r="K895" s="907"/>
      <c r="L895" s="720"/>
      <c r="M895" s="720"/>
      <c r="N895" s="720"/>
      <c r="O895" s="720"/>
      <c r="P895" s="720"/>
      <c r="Q895" s="720"/>
      <c r="R895" s="720"/>
      <c r="S895" s="720"/>
      <c r="T895" s="720"/>
      <c r="U895" s="720"/>
      <c r="V895" s="720"/>
      <c r="W895" s="720"/>
      <c r="X895" s="720"/>
      <c r="Y895" s="720"/>
      <c r="Z895" s="720"/>
      <c r="AA895" s="720"/>
      <c r="AB895" s="720"/>
    </row>
    <row r="896" spans="1:28" ht="12.75" customHeight="1">
      <c r="A896" s="902"/>
      <c r="B896" s="903"/>
      <c r="C896" s="720"/>
      <c r="D896" s="720"/>
      <c r="E896" s="720"/>
      <c r="F896" s="720"/>
      <c r="G896" s="906"/>
      <c r="H896" s="720"/>
      <c r="I896" s="720"/>
      <c r="J896" s="720"/>
      <c r="K896" s="907"/>
      <c r="L896" s="720"/>
      <c r="M896" s="720"/>
      <c r="N896" s="720"/>
      <c r="O896" s="720"/>
      <c r="P896" s="720"/>
      <c r="Q896" s="720"/>
      <c r="R896" s="720"/>
      <c r="S896" s="720"/>
      <c r="T896" s="720"/>
      <c r="U896" s="720"/>
      <c r="V896" s="720"/>
      <c r="W896" s="720"/>
      <c r="X896" s="720"/>
      <c r="Y896" s="720"/>
      <c r="Z896" s="720"/>
      <c r="AA896" s="720"/>
      <c r="AB896" s="720"/>
    </row>
    <row r="897" spans="1:28" ht="12.75" customHeight="1">
      <c r="A897" s="902"/>
      <c r="B897" s="903"/>
      <c r="C897" s="720"/>
      <c r="D897" s="720"/>
      <c r="E897" s="720"/>
      <c r="F897" s="720"/>
      <c r="G897" s="906"/>
      <c r="H897" s="720"/>
      <c r="I897" s="720"/>
      <c r="J897" s="720"/>
      <c r="K897" s="907"/>
      <c r="L897" s="720"/>
      <c r="M897" s="720"/>
      <c r="N897" s="720"/>
      <c r="O897" s="720"/>
      <c r="P897" s="720"/>
      <c r="Q897" s="720"/>
      <c r="R897" s="720"/>
      <c r="S897" s="720"/>
      <c r="T897" s="720"/>
      <c r="U897" s="720"/>
      <c r="V897" s="720"/>
      <c r="W897" s="720"/>
      <c r="X897" s="720"/>
      <c r="Y897" s="720"/>
      <c r="Z897" s="720"/>
      <c r="AA897" s="720"/>
      <c r="AB897" s="720"/>
    </row>
    <row r="898" spans="1:28" ht="12.75" customHeight="1">
      <c r="A898" s="902"/>
      <c r="B898" s="903"/>
      <c r="C898" s="720"/>
      <c r="D898" s="720"/>
      <c r="E898" s="720"/>
      <c r="F898" s="720"/>
      <c r="G898" s="906"/>
      <c r="H898" s="720"/>
      <c r="I898" s="720"/>
      <c r="J898" s="720"/>
      <c r="K898" s="907"/>
      <c r="L898" s="720"/>
      <c r="M898" s="720"/>
      <c r="N898" s="720"/>
      <c r="O898" s="720"/>
      <c r="P898" s="720"/>
      <c r="Q898" s="720"/>
      <c r="R898" s="720"/>
      <c r="S898" s="720"/>
      <c r="T898" s="720"/>
      <c r="U898" s="720"/>
      <c r="V898" s="720"/>
      <c r="W898" s="720"/>
      <c r="X898" s="720"/>
      <c r="Y898" s="720"/>
      <c r="Z898" s="720"/>
      <c r="AA898" s="720"/>
      <c r="AB898" s="720"/>
    </row>
    <row r="899" spans="1:28" ht="12.75" customHeight="1">
      <c r="A899" s="902"/>
      <c r="B899" s="903"/>
      <c r="C899" s="720"/>
      <c r="D899" s="720"/>
      <c r="E899" s="720"/>
      <c r="F899" s="720"/>
      <c r="G899" s="906"/>
      <c r="H899" s="720"/>
      <c r="I899" s="720"/>
      <c r="J899" s="720"/>
      <c r="K899" s="907"/>
      <c r="L899" s="720"/>
      <c r="M899" s="720"/>
      <c r="N899" s="720"/>
      <c r="O899" s="720"/>
      <c r="P899" s="720"/>
      <c r="Q899" s="720"/>
      <c r="R899" s="720"/>
      <c r="S899" s="720"/>
      <c r="T899" s="720"/>
      <c r="U899" s="720"/>
      <c r="V899" s="720"/>
      <c r="W899" s="720"/>
      <c r="X899" s="720"/>
      <c r="Y899" s="720"/>
      <c r="Z899" s="720"/>
      <c r="AA899" s="720"/>
      <c r="AB899" s="720"/>
    </row>
    <row r="900" spans="1:28" ht="12.75" customHeight="1">
      <c r="A900" s="902"/>
      <c r="B900" s="903"/>
      <c r="C900" s="720"/>
      <c r="D900" s="720"/>
      <c r="E900" s="720"/>
      <c r="F900" s="720"/>
      <c r="G900" s="906"/>
      <c r="H900" s="720"/>
      <c r="I900" s="720"/>
      <c r="J900" s="720"/>
      <c r="K900" s="907"/>
      <c r="L900" s="720"/>
      <c r="M900" s="720"/>
      <c r="N900" s="720"/>
      <c r="O900" s="720"/>
      <c r="P900" s="720"/>
      <c r="Q900" s="720"/>
      <c r="R900" s="720"/>
      <c r="S900" s="720"/>
      <c r="T900" s="720"/>
      <c r="U900" s="720"/>
      <c r="V900" s="720"/>
      <c r="W900" s="720"/>
      <c r="X900" s="720"/>
      <c r="Y900" s="720"/>
      <c r="Z900" s="720"/>
      <c r="AA900" s="720"/>
      <c r="AB900" s="720"/>
    </row>
    <row r="901" spans="1:28" ht="12.75" customHeight="1">
      <c r="A901" s="902"/>
      <c r="B901" s="903"/>
      <c r="C901" s="720"/>
      <c r="D901" s="720"/>
      <c r="E901" s="720"/>
      <c r="F901" s="720"/>
      <c r="G901" s="906"/>
      <c r="H901" s="720"/>
      <c r="I901" s="720"/>
      <c r="J901" s="720"/>
      <c r="K901" s="907"/>
      <c r="L901" s="720"/>
      <c r="M901" s="720"/>
      <c r="N901" s="720"/>
      <c r="O901" s="720"/>
      <c r="P901" s="720"/>
      <c r="Q901" s="720"/>
      <c r="R901" s="720"/>
      <c r="S901" s="720"/>
      <c r="T901" s="720"/>
      <c r="U901" s="720"/>
      <c r="V901" s="720"/>
      <c r="W901" s="720"/>
      <c r="X901" s="720"/>
      <c r="Y901" s="720"/>
      <c r="Z901" s="720"/>
      <c r="AA901" s="720"/>
      <c r="AB901" s="720"/>
    </row>
    <row r="902" spans="1:28" ht="12.75" customHeight="1">
      <c r="A902" s="902"/>
      <c r="B902" s="903"/>
      <c r="C902" s="720"/>
      <c r="D902" s="720"/>
      <c r="E902" s="720"/>
      <c r="F902" s="720"/>
      <c r="G902" s="906"/>
      <c r="H902" s="720"/>
      <c r="I902" s="720"/>
      <c r="J902" s="720"/>
      <c r="K902" s="907"/>
      <c r="L902" s="720"/>
      <c r="M902" s="720"/>
      <c r="N902" s="720"/>
      <c r="O902" s="720"/>
      <c r="P902" s="720"/>
      <c r="Q902" s="720"/>
      <c r="R902" s="720"/>
      <c r="S902" s="720"/>
      <c r="T902" s="720"/>
      <c r="U902" s="720"/>
      <c r="V902" s="720"/>
      <c r="W902" s="720"/>
      <c r="X902" s="720"/>
      <c r="Y902" s="720"/>
      <c r="Z902" s="720"/>
      <c r="AA902" s="720"/>
      <c r="AB902" s="720"/>
    </row>
    <row r="903" spans="1:28" ht="12.75" customHeight="1">
      <c r="A903" s="902"/>
      <c r="B903" s="903"/>
      <c r="C903" s="720"/>
      <c r="D903" s="720"/>
      <c r="E903" s="720"/>
      <c r="F903" s="720"/>
      <c r="G903" s="906"/>
      <c r="H903" s="720"/>
      <c r="I903" s="720"/>
      <c r="J903" s="720"/>
      <c r="K903" s="907"/>
      <c r="L903" s="720"/>
      <c r="M903" s="720"/>
      <c r="N903" s="720"/>
      <c r="O903" s="720"/>
      <c r="P903" s="720"/>
      <c r="Q903" s="720"/>
      <c r="R903" s="720"/>
      <c r="S903" s="720"/>
      <c r="T903" s="720"/>
      <c r="U903" s="720"/>
      <c r="V903" s="720"/>
      <c r="W903" s="720"/>
      <c r="X903" s="720"/>
      <c r="Y903" s="720"/>
      <c r="Z903" s="720"/>
      <c r="AA903" s="720"/>
      <c r="AB903" s="720"/>
    </row>
    <row r="904" spans="1:28" ht="12.75" customHeight="1">
      <c r="A904" s="902"/>
      <c r="B904" s="903"/>
      <c r="C904" s="720"/>
      <c r="D904" s="720"/>
      <c r="E904" s="720"/>
      <c r="F904" s="720"/>
      <c r="G904" s="906"/>
      <c r="H904" s="720"/>
      <c r="I904" s="720"/>
      <c r="J904" s="720"/>
      <c r="K904" s="907"/>
      <c r="L904" s="720"/>
      <c r="M904" s="720"/>
      <c r="N904" s="720"/>
      <c r="O904" s="720"/>
      <c r="P904" s="720"/>
      <c r="Q904" s="720"/>
      <c r="R904" s="720"/>
      <c r="S904" s="720"/>
      <c r="T904" s="720"/>
      <c r="U904" s="720"/>
      <c r="V904" s="720"/>
      <c r="W904" s="720"/>
      <c r="X904" s="720"/>
      <c r="Y904" s="720"/>
      <c r="Z904" s="720"/>
      <c r="AA904" s="720"/>
      <c r="AB904" s="720"/>
    </row>
    <row r="905" spans="1:28" ht="12.75" customHeight="1">
      <c r="A905" s="902"/>
      <c r="B905" s="903"/>
      <c r="C905" s="720"/>
      <c r="D905" s="720"/>
      <c r="E905" s="720"/>
      <c r="F905" s="720"/>
      <c r="G905" s="906"/>
      <c r="H905" s="720"/>
      <c r="I905" s="720"/>
      <c r="J905" s="720"/>
      <c r="K905" s="907"/>
      <c r="L905" s="720"/>
      <c r="M905" s="720"/>
      <c r="N905" s="720"/>
      <c r="O905" s="720"/>
      <c r="P905" s="720"/>
      <c r="Q905" s="720"/>
      <c r="R905" s="720"/>
      <c r="S905" s="720"/>
      <c r="T905" s="720"/>
      <c r="U905" s="720"/>
      <c r="V905" s="720"/>
      <c r="W905" s="720"/>
      <c r="X905" s="720"/>
      <c r="Y905" s="720"/>
      <c r="Z905" s="720"/>
      <c r="AA905" s="720"/>
      <c r="AB905" s="720"/>
    </row>
    <row r="906" spans="1:28" ht="12.75" customHeight="1">
      <c r="A906" s="902"/>
      <c r="B906" s="903"/>
      <c r="C906" s="720"/>
      <c r="D906" s="720"/>
      <c r="E906" s="720"/>
      <c r="F906" s="720"/>
      <c r="G906" s="906"/>
      <c r="H906" s="720"/>
      <c r="I906" s="720"/>
      <c r="J906" s="720"/>
      <c r="K906" s="907"/>
      <c r="L906" s="720"/>
      <c r="M906" s="720"/>
      <c r="N906" s="720"/>
      <c r="O906" s="720"/>
      <c r="P906" s="720"/>
      <c r="Q906" s="720"/>
      <c r="R906" s="720"/>
      <c r="S906" s="720"/>
      <c r="T906" s="720"/>
      <c r="U906" s="720"/>
      <c r="V906" s="720"/>
      <c r="W906" s="720"/>
      <c r="X906" s="720"/>
      <c r="Y906" s="720"/>
      <c r="Z906" s="720"/>
      <c r="AA906" s="720"/>
      <c r="AB906" s="720"/>
    </row>
    <row r="907" spans="1:28" ht="12.75" customHeight="1">
      <c r="A907" s="902"/>
      <c r="B907" s="903"/>
      <c r="C907" s="720"/>
      <c r="D907" s="720"/>
      <c r="E907" s="720"/>
      <c r="F907" s="720"/>
      <c r="G907" s="906"/>
      <c r="H907" s="720"/>
      <c r="I907" s="720"/>
      <c r="J907" s="720"/>
      <c r="K907" s="907"/>
      <c r="L907" s="720"/>
      <c r="M907" s="720"/>
      <c r="N907" s="720"/>
      <c r="O907" s="720"/>
      <c r="P907" s="720"/>
      <c r="Q907" s="720"/>
      <c r="R907" s="720"/>
      <c r="S907" s="720"/>
      <c r="T907" s="720"/>
      <c r="U907" s="720"/>
      <c r="V907" s="720"/>
      <c r="W907" s="720"/>
      <c r="X907" s="720"/>
      <c r="Y907" s="720"/>
      <c r="Z907" s="720"/>
      <c r="AA907" s="720"/>
      <c r="AB907" s="720"/>
    </row>
    <row r="908" spans="1:28" ht="12.75" customHeight="1">
      <c r="A908" s="902"/>
      <c r="B908" s="903"/>
      <c r="C908" s="720"/>
      <c r="D908" s="720"/>
      <c r="E908" s="720"/>
      <c r="F908" s="720"/>
      <c r="G908" s="906"/>
      <c r="H908" s="720"/>
      <c r="I908" s="720"/>
      <c r="J908" s="720"/>
      <c r="K908" s="907"/>
      <c r="L908" s="720"/>
      <c r="M908" s="720"/>
      <c r="N908" s="720"/>
      <c r="O908" s="720"/>
      <c r="P908" s="720"/>
      <c r="Q908" s="720"/>
      <c r="R908" s="720"/>
      <c r="S908" s="720"/>
      <c r="T908" s="720"/>
      <c r="U908" s="720"/>
      <c r="V908" s="720"/>
      <c r="W908" s="720"/>
      <c r="X908" s="720"/>
      <c r="Y908" s="720"/>
      <c r="Z908" s="720"/>
      <c r="AA908" s="720"/>
      <c r="AB908" s="720"/>
    </row>
    <row r="909" spans="1:28" ht="12.75" customHeight="1">
      <c r="A909" s="902"/>
      <c r="B909" s="903"/>
      <c r="C909" s="720"/>
      <c r="D909" s="720"/>
      <c r="E909" s="720"/>
      <c r="F909" s="720"/>
      <c r="G909" s="906"/>
      <c r="H909" s="720"/>
      <c r="I909" s="720"/>
      <c r="J909" s="720"/>
      <c r="K909" s="907"/>
      <c r="L909" s="720"/>
      <c r="M909" s="720"/>
      <c r="N909" s="720"/>
      <c r="O909" s="720"/>
      <c r="P909" s="720"/>
      <c r="Q909" s="720"/>
      <c r="R909" s="720"/>
      <c r="S909" s="720"/>
      <c r="T909" s="720"/>
      <c r="U909" s="720"/>
      <c r="V909" s="720"/>
      <c r="W909" s="720"/>
      <c r="X909" s="720"/>
      <c r="Y909" s="720"/>
      <c r="Z909" s="720"/>
      <c r="AA909" s="720"/>
      <c r="AB909" s="720"/>
    </row>
    <row r="910" spans="1:28" ht="12.75" customHeight="1">
      <c r="A910" s="902"/>
      <c r="B910" s="903"/>
      <c r="C910" s="720"/>
      <c r="D910" s="720"/>
      <c r="E910" s="720"/>
      <c r="F910" s="720"/>
      <c r="G910" s="906"/>
      <c r="H910" s="720"/>
      <c r="I910" s="720"/>
      <c r="J910" s="720"/>
      <c r="K910" s="907"/>
      <c r="L910" s="720"/>
      <c r="M910" s="720"/>
      <c r="N910" s="720"/>
      <c r="O910" s="720"/>
      <c r="P910" s="720"/>
      <c r="Q910" s="720"/>
      <c r="R910" s="720"/>
      <c r="S910" s="720"/>
      <c r="T910" s="720"/>
      <c r="U910" s="720"/>
      <c r="V910" s="720"/>
      <c r="W910" s="720"/>
      <c r="X910" s="720"/>
      <c r="Y910" s="720"/>
      <c r="Z910" s="720"/>
      <c r="AA910" s="720"/>
      <c r="AB910" s="720"/>
    </row>
    <row r="911" spans="1:28" ht="12.75" customHeight="1">
      <c r="A911" s="902"/>
      <c r="B911" s="903"/>
      <c r="C911" s="720"/>
      <c r="D911" s="720"/>
      <c r="E911" s="720"/>
      <c r="F911" s="720"/>
      <c r="G911" s="906"/>
      <c r="H911" s="720"/>
      <c r="I911" s="720"/>
      <c r="J911" s="720"/>
      <c r="K911" s="907"/>
      <c r="L911" s="720"/>
      <c r="M911" s="720"/>
      <c r="N911" s="720"/>
      <c r="O911" s="720"/>
      <c r="P911" s="720"/>
      <c r="Q911" s="720"/>
      <c r="R911" s="720"/>
      <c r="S911" s="720"/>
      <c r="T911" s="720"/>
      <c r="U911" s="720"/>
      <c r="V911" s="720"/>
      <c r="W911" s="720"/>
      <c r="X911" s="720"/>
      <c r="Y911" s="720"/>
      <c r="Z911" s="720"/>
      <c r="AA911" s="720"/>
      <c r="AB911" s="720"/>
    </row>
    <row r="912" spans="1:28" ht="12.75" customHeight="1">
      <c r="A912" s="902"/>
      <c r="B912" s="903"/>
      <c r="C912" s="720"/>
      <c r="D912" s="720"/>
      <c r="E912" s="720"/>
      <c r="F912" s="720"/>
      <c r="G912" s="906"/>
      <c r="H912" s="720"/>
      <c r="I912" s="720"/>
      <c r="J912" s="720"/>
      <c r="K912" s="907"/>
      <c r="L912" s="720"/>
      <c r="M912" s="720"/>
      <c r="N912" s="720"/>
      <c r="O912" s="720"/>
      <c r="P912" s="720"/>
      <c r="Q912" s="720"/>
      <c r="R912" s="720"/>
      <c r="S912" s="720"/>
      <c r="T912" s="720"/>
      <c r="U912" s="720"/>
      <c r="V912" s="720"/>
      <c r="W912" s="720"/>
      <c r="X912" s="720"/>
      <c r="Y912" s="720"/>
      <c r="Z912" s="720"/>
      <c r="AA912" s="720"/>
      <c r="AB912" s="720"/>
    </row>
    <row r="913" spans="1:28" ht="12.75" customHeight="1">
      <c r="A913" s="902"/>
      <c r="B913" s="903"/>
      <c r="C913" s="720"/>
      <c r="D913" s="720"/>
      <c r="E913" s="720"/>
      <c r="F913" s="720"/>
      <c r="G913" s="906"/>
      <c r="H913" s="720"/>
      <c r="I913" s="720"/>
      <c r="J913" s="720"/>
      <c r="K913" s="907"/>
      <c r="L913" s="720"/>
      <c r="M913" s="720"/>
      <c r="N913" s="720"/>
      <c r="O913" s="720"/>
      <c r="P913" s="720"/>
      <c r="Q913" s="720"/>
      <c r="R913" s="720"/>
      <c r="S913" s="720"/>
      <c r="T913" s="720"/>
      <c r="U913" s="720"/>
      <c r="V913" s="720"/>
      <c r="W913" s="720"/>
      <c r="X913" s="720"/>
      <c r="Y913" s="720"/>
      <c r="Z913" s="720"/>
      <c r="AA913" s="720"/>
      <c r="AB913" s="720"/>
    </row>
    <row r="914" spans="1:28" ht="12.75" customHeight="1">
      <c r="A914" s="902"/>
      <c r="B914" s="903"/>
      <c r="C914" s="720"/>
      <c r="D914" s="720"/>
      <c r="E914" s="720"/>
      <c r="F914" s="720"/>
      <c r="G914" s="906"/>
      <c r="H914" s="720"/>
      <c r="I914" s="720"/>
      <c r="J914" s="720"/>
      <c r="K914" s="907"/>
      <c r="L914" s="720"/>
      <c r="M914" s="720"/>
      <c r="N914" s="720"/>
      <c r="O914" s="720"/>
      <c r="P914" s="720"/>
      <c r="Q914" s="720"/>
      <c r="R914" s="720"/>
      <c r="S914" s="720"/>
      <c r="T914" s="720"/>
      <c r="U914" s="720"/>
      <c r="V914" s="720"/>
      <c r="W914" s="720"/>
      <c r="X914" s="720"/>
      <c r="Y914" s="720"/>
      <c r="Z914" s="720"/>
      <c r="AA914" s="720"/>
      <c r="AB914" s="720"/>
    </row>
    <row r="915" spans="1:28" ht="12.75" customHeight="1">
      <c r="A915" s="902"/>
      <c r="B915" s="903"/>
      <c r="C915" s="720"/>
      <c r="D915" s="720"/>
      <c r="E915" s="720"/>
      <c r="F915" s="720"/>
      <c r="G915" s="906"/>
      <c r="H915" s="720"/>
      <c r="I915" s="720"/>
      <c r="J915" s="720"/>
      <c r="K915" s="907"/>
      <c r="L915" s="720"/>
      <c r="M915" s="720"/>
      <c r="N915" s="720"/>
      <c r="O915" s="720"/>
      <c r="P915" s="720"/>
      <c r="Q915" s="720"/>
      <c r="R915" s="720"/>
      <c r="S915" s="720"/>
      <c r="T915" s="720"/>
      <c r="U915" s="720"/>
      <c r="V915" s="720"/>
      <c r="W915" s="720"/>
      <c r="X915" s="720"/>
      <c r="Y915" s="720"/>
      <c r="Z915" s="720"/>
      <c r="AA915" s="720"/>
      <c r="AB915" s="720"/>
    </row>
    <row r="916" spans="1:28" ht="12.75" customHeight="1">
      <c r="A916" s="902"/>
      <c r="B916" s="903"/>
      <c r="C916" s="720"/>
      <c r="D916" s="720"/>
      <c r="E916" s="720"/>
      <c r="F916" s="720"/>
      <c r="G916" s="906"/>
      <c r="H916" s="720"/>
      <c r="I916" s="720"/>
      <c r="J916" s="720"/>
      <c r="K916" s="907"/>
      <c r="L916" s="720"/>
      <c r="M916" s="720"/>
      <c r="N916" s="720"/>
      <c r="O916" s="720"/>
      <c r="P916" s="720"/>
      <c r="Q916" s="720"/>
      <c r="R916" s="720"/>
      <c r="S916" s="720"/>
      <c r="T916" s="720"/>
      <c r="U916" s="720"/>
      <c r="V916" s="720"/>
      <c r="W916" s="720"/>
      <c r="X916" s="720"/>
      <c r="Y916" s="720"/>
      <c r="Z916" s="720"/>
      <c r="AA916" s="720"/>
      <c r="AB916" s="720"/>
    </row>
    <row r="917" spans="1:28" ht="12.75" customHeight="1">
      <c r="A917" s="902"/>
      <c r="B917" s="903"/>
      <c r="C917" s="720"/>
      <c r="D917" s="720"/>
      <c r="E917" s="720"/>
      <c r="F917" s="720"/>
      <c r="G917" s="906"/>
      <c r="H917" s="720"/>
      <c r="I917" s="720"/>
      <c r="J917" s="720"/>
      <c r="K917" s="907"/>
      <c r="L917" s="720"/>
      <c r="M917" s="720"/>
      <c r="N917" s="720"/>
      <c r="O917" s="720"/>
      <c r="P917" s="720"/>
      <c r="Q917" s="720"/>
      <c r="R917" s="720"/>
      <c r="S917" s="720"/>
      <c r="T917" s="720"/>
      <c r="U917" s="720"/>
      <c r="V917" s="720"/>
      <c r="W917" s="720"/>
      <c r="X917" s="720"/>
      <c r="Y917" s="720"/>
      <c r="Z917" s="720"/>
      <c r="AA917" s="720"/>
      <c r="AB917" s="720"/>
    </row>
    <row r="918" spans="1:28" ht="12.75" customHeight="1">
      <c r="A918" s="902"/>
      <c r="B918" s="903"/>
      <c r="C918" s="720"/>
      <c r="D918" s="720"/>
      <c r="E918" s="720"/>
      <c r="F918" s="720"/>
      <c r="G918" s="906"/>
      <c r="H918" s="720"/>
      <c r="I918" s="720"/>
      <c r="J918" s="720"/>
      <c r="K918" s="907"/>
      <c r="L918" s="720"/>
      <c r="M918" s="720"/>
      <c r="N918" s="720"/>
      <c r="O918" s="720"/>
      <c r="P918" s="720"/>
      <c r="Q918" s="720"/>
      <c r="R918" s="720"/>
      <c r="S918" s="720"/>
      <c r="T918" s="720"/>
      <c r="U918" s="720"/>
      <c r="V918" s="720"/>
      <c r="W918" s="720"/>
      <c r="X918" s="720"/>
      <c r="Y918" s="720"/>
      <c r="Z918" s="720"/>
      <c r="AA918" s="720"/>
      <c r="AB918" s="720"/>
    </row>
    <row r="919" spans="1:28" ht="12.75" customHeight="1">
      <c r="A919" s="902"/>
      <c r="B919" s="903"/>
      <c r="C919" s="720"/>
      <c r="D919" s="720"/>
      <c r="E919" s="720"/>
      <c r="F919" s="720"/>
      <c r="G919" s="906"/>
      <c r="H919" s="720"/>
      <c r="I919" s="720"/>
      <c r="J919" s="720"/>
      <c r="K919" s="907"/>
      <c r="L919" s="720"/>
      <c r="M919" s="720"/>
      <c r="N919" s="720"/>
      <c r="O919" s="720"/>
      <c r="P919" s="720"/>
      <c r="Q919" s="720"/>
      <c r="R919" s="720"/>
      <c r="S919" s="720"/>
      <c r="T919" s="720"/>
      <c r="U919" s="720"/>
      <c r="V919" s="720"/>
      <c r="W919" s="720"/>
      <c r="X919" s="720"/>
      <c r="Y919" s="720"/>
      <c r="Z919" s="720"/>
      <c r="AA919" s="720"/>
      <c r="AB919" s="720"/>
    </row>
    <row r="920" spans="1:28" ht="12.75" customHeight="1">
      <c r="A920" s="902"/>
      <c r="B920" s="903"/>
      <c r="C920" s="720"/>
      <c r="D920" s="720"/>
      <c r="E920" s="720"/>
      <c r="F920" s="720"/>
      <c r="G920" s="906"/>
      <c r="H920" s="720"/>
      <c r="I920" s="720"/>
      <c r="J920" s="720"/>
      <c r="K920" s="907"/>
      <c r="L920" s="720"/>
      <c r="M920" s="720"/>
      <c r="N920" s="720"/>
      <c r="O920" s="720"/>
      <c r="P920" s="720"/>
      <c r="Q920" s="720"/>
      <c r="R920" s="720"/>
      <c r="S920" s="720"/>
      <c r="T920" s="720"/>
      <c r="U920" s="720"/>
      <c r="V920" s="720"/>
      <c r="W920" s="720"/>
      <c r="X920" s="720"/>
      <c r="Y920" s="720"/>
      <c r="Z920" s="720"/>
      <c r="AA920" s="720"/>
      <c r="AB920" s="720"/>
    </row>
    <row r="921" spans="1:28" ht="12.75" customHeight="1">
      <c r="A921" s="902"/>
      <c r="B921" s="903"/>
      <c r="C921" s="720"/>
      <c r="D921" s="720"/>
      <c r="E921" s="720"/>
      <c r="F921" s="720"/>
      <c r="G921" s="906"/>
      <c r="H921" s="720"/>
      <c r="I921" s="720"/>
      <c r="J921" s="720"/>
      <c r="K921" s="907"/>
      <c r="L921" s="720"/>
      <c r="M921" s="720"/>
      <c r="N921" s="720"/>
      <c r="O921" s="720"/>
      <c r="P921" s="720"/>
      <c r="Q921" s="720"/>
      <c r="R921" s="720"/>
      <c r="S921" s="720"/>
      <c r="T921" s="720"/>
      <c r="U921" s="720"/>
      <c r="V921" s="720"/>
      <c r="W921" s="720"/>
      <c r="X921" s="720"/>
      <c r="Y921" s="720"/>
      <c r="Z921" s="720"/>
      <c r="AA921" s="720"/>
      <c r="AB921" s="720"/>
    </row>
    <row r="922" spans="1:28" ht="12.75" customHeight="1">
      <c r="A922" s="902"/>
      <c r="B922" s="903"/>
      <c r="C922" s="720"/>
      <c r="D922" s="720"/>
      <c r="E922" s="720"/>
      <c r="F922" s="720"/>
      <c r="G922" s="906"/>
      <c r="H922" s="720"/>
      <c r="I922" s="720"/>
      <c r="J922" s="720"/>
      <c r="K922" s="907"/>
      <c r="L922" s="720"/>
      <c r="M922" s="720"/>
      <c r="N922" s="720"/>
      <c r="O922" s="720"/>
      <c r="P922" s="720"/>
      <c r="Q922" s="720"/>
      <c r="R922" s="720"/>
      <c r="S922" s="720"/>
      <c r="T922" s="720"/>
      <c r="U922" s="720"/>
      <c r="V922" s="720"/>
      <c r="W922" s="720"/>
      <c r="X922" s="720"/>
      <c r="Y922" s="720"/>
      <c r="Z922" s="720"/>
      <c r="AA922" s="720"/>
      <c r="AB922" s="720"/>
    </row>
    <row r="923" spans="1:28" ht="12.75" customHeight="1">
      <c r="A923" s="902"/>
      <c r="B923" s="903"/>
      <c r="C923" s="720"/>
      <c r="D923" s="720"/>
      <c r="E923" s="720"/>
      <c r="F923" s="720"/>
      <c r="G923" s="906"/>
      <c r="H923" s="720"/>
      <c r="I923" s="720"/>
      <c r="J923" s="720"/>
      <c r="K923" s="907"/>
      <c r="L923" s="720"/>
      <c r="M923" s="720"/>
      <c r="N923" s="720"/>
      <c r="O923" s="720"/>
      <c r="P923" s="720"/>
      <c r="Q923" s="720"/>
      <c r="R923" s="720"/>
      <c r="S923" s="720"/>
      <c r="T923" s="720"/>
      <c r="U923" s="720"/>
      <c r="V923" s="720"/>
      <c r="W923" s="720"/>
      <c r="X923" s="720"/>
      <c r="Y923" s="720"/>
      <c r="Z923" s="720"/>
      <c r="AA923" s="720"/>
      <c r="AB923" s="720"/>
    </row>
    <row r="924" spans="1:28" ht="12.75" customHeight="1">
      <c r="A924" s="902"/>
      <c r="B924" s="903"/>
      <c r="C924" s="720"/>
      <c r="D924" s="720"/>
      <c r="E924" s="720"/>
      <c r="F924" s="720"/>
      <c r="G924" s="906"/>
      <c r="H924" s="720"/>
      <c r="I924" s="720"/>
      <c r="J924" s="720"/>
      <c r="K924" s="907"/>
      <c r="L924" s="720"/>
      <c r="M924" s="720"/>
      <c r="N924" s="720"/>
      <c r="O924" s="720"/>
      <c r="P924" s="720"/>
      <c r="Q924" s="720"/>
      <c r="R924" s="720"/>
      <c r="S924" s="720"/>
      <c r="T924" s="720"/>
      <c r="U924" s="720"/>
      <c r="V924" s="720"/>
      <c r="W924" s="720"/>
      <c r="X924" s="720"/>
      <c r="Y924" s="720"/>
      <c r="Z924" s="720"/>
      <c r="AA924" s="720"/>
      <c r="AB924" s="720"/>
    </row>
    <row r="925" spans="1:28" ht="12.75" customHeight="1">
      <c r="A925" s="902"/>
      <c r="B925" s="903"/>
      <c r="C925" s="720"/>
      <c r="D925" s="720"/>
      <c r="E925" s="720"/>
      <c r="F925" s="720"/>
      <c r="G925" s="906"/>
      <c r="H925" s="720"/>
      <c r="I925" s="720"/>
      <c r="J925" s="720"/>
      <c r="K925" s="907"/>
      <c r="L925" s="720"/>
      <c r="M925" s="720"/>
      <c r="N925" s="720"/>
      <c r="O925" s="720"/>
      <c r="P925" s="720"/>
      <c r="Q925" s="720"/>
      <c r="R925" s="720"/>
      <c r="S925" s="720"/>
      <c r="T925" s="720"/>
      <c r="U925" s="720"/>
      <c r="V925" s="720"/>
      <c r="W925" s="720"/>
      <c r="X925" s="720"/>
      <c r="Y925" s="720"/>
      <c r="Z925" s="720"/>
      <c r="AA925" s="720"/>
      <c r="AB925" s="720"/>
    </row>
    <row r="926" spans="1:28" ht="12.75" customHeight="1">
      <c r="A926" s="902"/>
      <c r="B926" s="903"/>
      <c r="C926" s="720"/>
      <c r="D926" s="720"/>
      <c r="E926" s="720"/>
      <c r="F926" s="720"/>
      <c r="G926" s="906"/>
      <c r="H926" s="720"/>
      <c r="I926" s="720"/>
      <c r="J926" s="720"/>
      <c r="K926" s="907"/>
      <c r="L926" s="720"/>
      <c r="M926" s="720"/>
      <c r="N926" s="720"/>
      <c r="O926" s="720"/>
      <c r="P926" s="720"/>
      <c r="Q926" s="720"/>
      <c r="R926" s="720"/>
      <c r="S926" s="720"/>
      <c r="T926" s="720"/>
      <c r="U926" s="720"/>
      <c r="V926" s="720"/>
      <c r="W926" s="720"/>
      <c r="X926" s="720"/>
      <c r="Y926" s="720"/>
      <c r="Z926" s="720"/>
      <c r="AA926" s="720"/>
      <c r="AB926" s="720"/>
    </row>
    <row r="927" spans="1:28" ht="12.75" customHeight="1">
      <c r="A927" s="902"/>
      <c r="B927" s="903"/>
      <c r="C927" s="720"/>
      <c r="D927" s="720"/>
      <c r="E927" s="720"/>
      <c r="F927" s="720"/>
      <c r="G927" s="906"/>
      <c r="H927" s="720"/>
      <c r="I927" s="720"/>
      <c r="J927" s="720"/>
      <c r="K927" s="907"/>
      <c r="L927" s="720"/>
      <c r="M927" s="720"/>
      <c r="N927" s="720"/>
      <c r="O927" s="720"/>
      <c r="P927" s="720"/>
      <c r="Q927" s="720"/>
      <c r="R927" s="720"/>
      <c r="S927" s="720"/>
      <c r="T927" s="720"/>
      <c r="U927" s="720"/>
      <c r="V927" s="720"/>
      <c r="W927" s="720"/>
      <c r="X927" s="720"/>
      <c r="Y927" s="720"/>
      <c r="Z927" s="720"/>
      <c r="AA927" s="720"/>
      <c r="AB927" s="720"/>
    </row>
    <row r="928" spans="1:28" ht="12.75" customHeight="1">
      <c r="A928" s="902"/>
      <c r="B928" s="903"/>
      <c r="C928" s="720"/>
      <c r="D928" s="720"/>
      <c r="E928" s="720"/>
      <c r="F928" s="720"/>
      <c r="G928" s="906"/>
      <c r="H928" s="720"/>
      <c r="I928" s="720"/>
      <c r="J928" s="720"/>
      <c r="K928" s="907"/>
      <c r="L928" s="720"/>
      <c r="M928" s="720"/>
      <c r="N928" s="720"/>
      <c r="O928" s="720"/>
      <c r="P928" s="720"/>
      <c r="Q928" s="720"/>
      <c r="R928" s="720"/>
      <c r="S928" s="720"/>
      <c r="T928" s="720"/>
      <c r="U928" s="720"/>
      <c r="V928" s="720"/>
      <c r="W928" s="720"/>
      <c r="X928" s="720"/>
      <c r="Y928" s="720"/>
      <c r="Z928" s="720"/>
      <c r="AA928" s="720"/>
      <c r="AB928" s="720"/>
    </row>
    <row r="929" spans="1:28" ht="12.75" customHeight="1">
      <c r="A929" s="902"/>
      <c r="B929" s="903"/>
      <c r="C929" s="720"/>
      <c r="D929" s="720"/>
      <c r="E929" s="720"/>
      <c r="F929" s="720"/>
      <c r="G929" s="906"/>
      <c r="H929" s="720"/>
      <c r="I929" s="720"/>
      <c r="J929" s="720"/>
      <c r="K929" s="907"/>
      <c r="L929" s="720"/>
      <c r="M929" s="720"/>
      <c r="N929" s="720"/>
      <c r="O929" s="720"/>
      <c r="P929" s="720"/>
      <c r="Q929" s="720"/>
      <c r="R929" s="720"/>
      <c r="S929" s="720"/>
      <c r="T929" s="720"/>
      <c r="U929" s="720"/>
      <c r="V929" s="720"/>
      <c r="W929" s="720"/>
      <c r="X929" s="720"/>
      <c r="Y929" s="720"/>
      <c r="Z929" s="720"/>
      <c r="AA929" s="720"/>
      <c r="AB929" s="720"/>
    </row>
    <row r="930" spans="1:28" ht="12.75" customHeight="1">
      <c r="A930" s="902"/>
      <c r="B930" s="903"/>
      <c r="C930" s="720"/>
      <c r="D930" s="720"/>
      <c r="E930" s="720"/>
      <c r="F930" s="720"/>
      <c r="G930" s="906"/>
      <c r="H930" s="720"/>
      <c r="I930" s="720"/>
      <c r="J930" s="720"/>
      <c r="K930" s="907"/>
      <c r="L930" s="720"/>
      <c r="M930" s="720"/>
      <c r="N930" s="720"/>
      <c r="O930" s="720"/>
      <c r="P930" s="720"/>
      <c r="Q930" s="720"/>
      <c r="R930" s="720"/>
      <c r="S930" s="720"/>
      <c r="T930" s="720"/>
      <c r="U930" s="720"/>
      <c r="V930" s="720"/>
      <c r="W930" s="720"/>
      <c r="X930" s="720"/>
      <c r="Y930" s="720"/>
      <c r="Z930" s="720"/>
      <c r="AA930" s="720"/>
      <c r="AB930" s="720"/>
    </row>
    <row r="931" spans="1:28" ht="12.75" customHeight="1">
      <c r="A931" s="902"/>
      <c r="B931" s="903"/>
      <c r="C931" s="720"/>
      <c r="D931" s="720"/>
      <c r="E931" s="720"/>
      <c r="F931" s="720"/>
      <c r="G931" s="906"/>
      <c r="H931" s="720"/>
      <c r="I931" s="720"/>
      <c r="J931" s="720"/>
      <c r="K931" s="907"/>
      <c r="L931" s="720"/>
      <c r="M931" s="720"/>
      <c r="N931" s="720"/>
      <c r="O931" s="720"/>
      <c r="P931" s="720"/>
      <c r="Q931" s="720"/>
      <c r="R931" s="720"/>
      <c r="S931" s="720"/>
      <c r="T931" s="720"/>
      <c r="U931" s="720"/>
      <c r="V931" s="720"/>
      <c r="W931" s="720"/>
      <c r="X931" s="720"/>
      <c r="Y931" s="720"/>
      <c r="Z931" s="720"/>
      <c r="AA931" s="720"/>
      <c r="AB931" s="720"/>
    </row>
    <row r="932" spans="1:28" ht="12.75" customHeight="1">
      <c r="A932" s="902"/>
      <c r="B932" s="903"/>
      <c r="C932" s="720"/>
      <c r="D932" s="720"/>
      <c r="E932" s="720"/>
      <c r="F932" s="720"/>
      <c r="G932" s="906"/>
      <c r="H932" s="720"/>
      <c r="I932" s="720"/>
      <c r="J932" s="720"/>
      <c r="K932" s="907"/>
      <c r="L932" s="720"/>
      <c r="M932" s="720"/>
      <c r="N932" s="720"/>
      <c r="O932" s="720"/>
      <c r="P932" s="720"/>
      <c r="Q932" s="720"/>
      <c r="R932" s="720"/>
      <c r="S932" s="720"/>
      <c r="T932" s="720"/>
      <c r="U932" s="720"/>
      <c r="V932" s="720"/>
      <c r="W932" s="720"/>
      <c r="X932" s="720"/>
      <c r="Y932" s="720"/>
      <c r="Z932" s="720"/>
      <c r="AA932" s="720"/>
      <c r="AB932" s="720"/>
    </row>
    <row r="933" spans="1:28" ht="12.75" customHeight="1">
      <c r="A933" s="902"/>
      <c r="B933" s="903"/>
      <c r="C933" s="720"/>
      <c r="D933" s="720"/>
      <c r="E933" s="720"/>
      <c r="F933" s="720"/>
      <c r="G933" s="906"/>
      <c r="H933" s="720"/>
      <c r="I933" s="720"/>
      <c r="J933" s="720"/>
      <c r="K933" s="907"/>
      <c r="L933" s="720"/>
      <c r="M933" s="720"/>
      <c r="N933" s="720"/>
      <c r="O933" s="720"/>
      <c r="P933" s="720"/>
      <c r="Q933" s="720"/>
      <c r="R933" s="720"/>
      <c r="S933" s="720"/>
      <c r="T933" s="720"/>
      <c r="U933" s="720"/>
      <c r="V933" s="720"/>
      <c r="W933" s="720"/>
      <c r="X933" s="720"/>
      <c r="Y933" s="720"/>
      <c r="Z933" s="720"/>
      <c r="AA933" s="720"/>
      <c r="AB933" s="720"/>
    </row>
    <row r="934" spans="1:28" ht="12.75" customHeight="1">
      <c r="A934" s="902"/>
      <c r="B934" s="903"/>
      <c r="C934" s="720"/>
      <c r="D934" s="720"/>
      <c r="E934" s="720"/>
      <c r="F934" s="720"/>
      <c r="G934" s="906"/>
      <c r="H934" s="720"/>
      <c r="I934" s="720"/>
      <c r="J934" s="720"/>
      <c r="K934" s="907"/>
      <c r="L934" s="720"/>
      <c r="M934" s="720"/>
      <c r="N934" s="720"/>
      <c r="O934" s="720"/>
      <c r="P934" s="720"/>
      <c r="Q934" s="720"/>
      <c r="R934" s="720"/>
      <c r="S934" s="720"/>
      <c r="T934" s="720"/>
      <c r="U934" s="720"/>
      <c r="V934" s="720"/>
      <c r="W934" s="720"/>
      <c r="X934" s="720"/>
      <c r="Y934" s="720"/>
      <c r="Z934" s="720"/>
      <c r="AA934" s="720"/>
      <c r="AB934" s="720"/>
    </row>
    <row r="935" spans="1:28" ht="12.75" customHeight="1">
      <c r="A935" s="902"/>
      <c r="B935" s="903"/>
      <c r="C935" s="720"/>
      <c r="D935" s="720"/>
      <c r="E935" s="720"/>
      <c r="F935" s="720"/>
      <c r="G935" s="906"/>
      <c r="H935" s="720"/>
      <c r="I935" s="720"/>
      <c r="J935" s="720"/>
      <c r="K935" s="907"/>
      <c r="L935" s="720"/>
      <c r="M935" s="720"/>
      <c r="N935" s="720"/>
      <c r="O935" s="720"/>
      <c r="P935" s="720"/>
      <c r="Q935" s="720"/>
      <c r="R935" s="720"/>
      <c r="S935" s="720"/>
      <c r="T935" s="720"/>
      <c r="U935" s="720"/>
      <c r="V935" s="720"/>
      <c r="W935" s="720"/>
      <c r="X935" s="720"/>
      <c r="Y935" s="720"/>
      <c r="Z935" s="720"/>
      <c r="AA935" s="720"/>
      <c r="AB935" s="720"/>
    </row>
    <row r="936" spans="1:28" ht="12.75" customHeight="1">
      <c r="A936" s="902"/>
      <c r="B936" s="903"/>
      <c r="C936" s="720"/>
      <c r="D936" s="720"/>
      <c r="E936" s="720"/>
      <c r="F936" s="720"/>
      <c r="G936" s="906"/>
      <c r="H936" s="720"/>
      <c r="I936" s="720"/>
      <c r="J936" s="720"/>
      <c r="K936" s="907"/>
      <c r="L936" s="720"/>
      <c r="M936" s="720"/>
      <c r="N936" s="720"/>
      <c r="O936" s="720"/>
      <c r="P936" s="720"/>
      <c r="Q936" s="720"/>
      <c r="R936" s="720"/>
      <c r="S936" s="720"/>
      <c r="T936" s="720"/>
      <c r="U936" s="720"/>
      <c r="V936" s="720"/>
      <c r="W936" s="720"/>
      <c r="X936" s="720"/>
      <c r="Y936" s="720"/>
      <c r="Z936" s="720"/>
      <c r="AA936" s="720"/>
      <c r="AB936" s="720"/>
    </row>
    <row r="937" spans="1:28" ht="12.75" customHeight="1">
      <c r="A937" s="902"/>
      <c r="B937" s="903"/>
      <c r="C937" s="720"/>
      <c r="D937" s="720"/>
      <c r="E937" s="720"/>
      <c r="F937" s="720"/>
      <c r="G937" s="906"/>
      <c r="H937" s="720"/>
      <c r="I937" s="720"/>
      <c r="J937" s="720"/>
      <c r="K937" s="907"/>
      <c r="L937" s="720"/>
      <c r="M937" s="720"/>
      <c r="N937" s="720"/>
      <c r="O937" s="720"/>
      <c r="P937" s="720"/>
      <c r="Q937" s="720"/>
      <c r="R937" s="720"/>
      <c r="S937" s="720"/>
      <c r="T937" s="720"/>
      <c r="U937" s="720"/>
      <c r="V937" s="720"/>
      <c r="W937" s="720"/>
      <c r="X937" s="720"/>
      <c r="Y937" s="720"/>
      <c r="Z937" s="720"/>
      <c r="AA937" s="720"/>
      <c r="AB937" s="720"/>
    </row>
    <row r="938" spans="1:28" ht="12.75" customHeight="1">
      <c r="A938" s="902"/>
      <c r="B938" s="903"/>
      <c r="C938" s="720"/>
      <c r="D938" s="720"/>
      <c r="E938" s="720"/>
      <c r="F938" s="720"/>
      <c r="G938" s="906"/>
      <c r="H938" s="720"/>
      <c r="I938" s="720"/>
      <c r="J938" s="720"/>
      <c r="K938" s="907"/>
      <c r="L938" s="720"/>
      <c r="M938" s="720"/>
      <c r="N938" s="720"/>
      <c r="O938" s="720"/>
      <c r="P938" s="720"/>
      <c r="Q938" s="720"/>
      <c r="R938" s="720"/>
      <c r="S938" s="720"/>
      <c r="T938" s="720"/>
      <c r="U938" s="720"/>
      <c r="V938" s="720"/>
      <c r="W938" s="720"/>
      <c r="X938" s="720"/>
      <c r="Y938" s="720"/>
      <c r="Z938" s="720"/>
      <c r="AA938" s="720"/>
      <c r="AB938" s="720"/>
    </row>
    <row r="939" spans="1:28" ht="12.75" customHeight="1">
      <c r="A939" s="902"/>
      <c r="B939" s="903"/>
      <c r="C939" s="720"/>
      <c r="D939" s="720"/>
      <c r="E939" s="720"/>
      <c r="F939" s="720"/>
      <c r="G939" s="906"/>
      <c r="H939" s="720"/>
      <c r="I939" s="720"/>
      <c r="J939" s="720"/>
      <c r="K939" s="907"/>
      <c r="L939" s="720"/>
      <c r="M939" s="720"/>
      <c r="N939" s="720"/>
      <c r="O939" s="720"/>
      <c r="P939" s="720"/>
      <c r="Q939" s="720"/>
      <c r="R939" s="720"/>
      <c r="S939" s="720"/>
      <c r="T939" s="720"/>
      <c r="U939" s="720"/>
      <c r="V939" s="720"/>
      <c r="W939" s="720"/>
      <c r="X939" s="720"/>
      <c r="Y939" s="720"/>
      <c r="Z939" s="720"/>
      <c r="AA939" s="720"/>
      <c r="AB939" s="720"/>
    </row>
    <row r="940" spans="1:28" ht="12.75" customHeight="1">
      <c r="A940" s="902"/>
      <c r="B940" s="903"/>
      <c r="C940" s="720"/>
      <c r="D940" s="720"/>
      <c r="E940" s="720"/>
      <c r="F940" s="720"/>
      <c r="G940" s="906"/>
      <c r="H940" s="720"/>
      <c r="I940" s="720"/>
      <c r="J940" s="720"/>
      <c r="K940" s="907"/>
      <c r="L940" s="720"/>
      <c r="M940" s="720"/>
      <c r="N940" s="720"/>
      <c r="O940" s="720"/>
      <c r="P940" s="720"/>
      <c r="Q940" s="720"/>
      <c r="R940" s="720"/>
      <c r="S940" s="720"/>
      <c r="T940" s="720"/>
      <c r="U940" s="720"/>
      <c r="V940" s="720"/>
      <c r="W940" s="720"/>
      <c r="X940" s="720"/>
      <c r="Y940" s="720"/>
      <c r="Z940" s="720"/>
      <c r="AA940" s="720"/>
      <c r="AB940" s="720"/>
    </row>
    <row r="941" spans="1:28" ht="12.75" customHeight="1">
      <c r="A941" s="902"/>
      <c r="B941" s="903"/>
      <c r="C941" s="720"/>
      <c r="D941" s="720"/>
      <c r="E941" s="720"/>
      <c r="F941" s="720"/>
      <c r="G941" s="906"/>
      <c r="H941" s="720"/>
      <c r="I941" s="720"/>
      <c r="J941" s="720"/>
      <c r="K941" s="907"/>
      <c r="L941" s="720"/>
      <c r="M941" s="720"/>
      <c r="N941" s="720"/>
      <c r="O941" s="720"/>
      <c r="P941" s="720"/>
      <c r="Q941" s="720"/>
      <c r="R941" s="720"/>
      <c r="S941" s="720"/>
      <c r="T941" s="720"/>
      <c r="U941" s="720"/>
      <c r="V941" s="720"/>
      <c r="W941" s="720"/>
      <c r="X941" s="720"/>
      <c r="Y941" s="720"/>
      <c r="Z941" s="720"/>
      <c r="AA941" s="720"/>
      <c r="AB941" s="720"/>
    </row>
    <row r="942" spans="1:28" ht="12.75" customHeight="1">
      <c r="A942" s="902"/>
      <c r="B942" s="903"/>
      <c r="C942" s="720"/>
      <c r="D942" s="720"/>
      <c r="E942" s="720"/>
      <c r="F942" s="720"/>
      <c r="G942" s="906"/>
      <c r="H942" s="720"/>
      <c r="I942" s="720"/>
      <c r="J942" s="720"/>
      <c r="K942" s="907"/>
      <c r="L942" s="720"/>
      <c r="M942" s="720"/>
      <c r="N942" s="720"/>
      <c r="O942" s="720"/>
      <c r="P942" s="720"/>
      <c r="Q942" s="720"/>
      <c r="R942" s="720"/>
      <c r="S942" s="720"/>
      <c r="T942" s="720"/>
      <c r="U942" s="720"/>
      <c r="V942" s="720"/>
      <c r="W942" s="720"/>
      <c r="X942" s="720"/>
      <c r="Y942" s="720"/>
      <c r="Z942" s="720"/>
      <c r="AA942" s="720"/>
      <c r="AB942" s="720"/>
    </row>
    <row r="943" spans="1:28" ht="12.75" customHeight="1">
      <c r="A943" s="902"/>
      <c r="B943" s="903"/>
      <c r="C943" s="720"/>
      <c r="D943" s="720"/>
      <c r="E943" s="720"/>
      <c r="F943" s="720"/>
      <c r="G943" s="906"/>
      <c r="H943" s="720"/>
      <c r="I943" s="720"/>
      <c r="J943" s="720"/>
      <c r="K943" s="907"/>
      <c r="L943" s="720"/>
      <c r="M943" s="720"/>
      <c r="N943" s="720"/>
      <c r="O943" s="720"/>
      <c r="P943" s="720"/>
      <c r="Q943" s="720"/>
      <c r="R943" s="720"/>
      <c r="S943" s="720"/>
      <c r="T943" s="720"/>
      <c r="U943" s="720"/>
      <c r="V943" s="720"/>
      <c r="W943" s="720"/>
      <c r="X943" s="720"/>
      <c r="Y943" s="720"/>
      <c r="Z943" s="720"/>
      <c r="AA943" s="720"/>
      <c r="AB943" s="720"/>
    </row>
    <row r="944" spans="1:28" ht="12.75" customHeight="1">
      <c r="A944" s="902"/>
      <c r="B944" s="903"/>
      <c r="C944" s="720"/>
      <c r="D944" s="720"/>
      <c r="E944" s="720"/>
      <c r="F944" s="720"/>
      <c r="G944" s="906"/>
      <c r="H944" s="720"/>
      <c r="I944" s="720"/>
      <c r="J944" s="720"/>
      <c r="K944" s="907"/>
      <c r="L944" s="720"/>
      <c r="M944" s="720"/>
      <c r="N944" s="720"/>
      <c r="O944" s="720"/>
      <c r="P944" s="720"/>
      <c r="Q944" s="720"/>
      <c r="R944" s="720"/>
      <c r="S944" s="720"/>
      <c r="T944" s="720"/>
      <c r="U944" s="720"/>
      <c r="V944" s="720"/>
      <c r="W944" s="720"/>
      <c r="X944" s="720"/>
      <c r="Y944" s="720"/>
      <c r="Z944" s="720"/>
      <c r="AA944" s="720"/>
      <c r="AB944" s="720"/>
    </row>
    <row r="945" spans="1:28" ht="12.75" customHeight="1">
      <c r="A945" s="902"/>
      <c r="B945" s="903"/>
      <c r="C945" s="720"/>
      <c r="D945" s="720"/>
      <c r="E945" s="720"/>
      <c r="F945" s="720"/>
      <c r="G945" s="906"/>
      <c r="H945" s="720"/>
      <c r="I945" s="720"/>
      <c r="J945" s="720"/>
      <c r="K945" s="907"/>
      <c r="L945" s="720"/>
      <c r="M945" s="720"/>
      <c r="N945" s="720"/>
      <c r="O945" s="720"/>
      <c r="P945" s="720"/>
      <c r="Q945" s="720"/>
      <c r="R945" s="720"/>
      <c r="S945" s="720"/>
      <c r="T945" s="720"/>
      <c r="U945" s="720"/>
      <c r="V945" s="720"/>
      <c r="W945" s="720"/>
      <c r="X945" s="720"/>
      <c r="Y945" s="720"/>
      <c r="Z945" s="720"/>
      <c r="AA945" s="720"/>
      <c r="AB945" s="720"/>
    </row>
    <row r="946" spans="1:28" ht="12.75" customHeight="1">
      <c r="A946" s="902"/>
      <c r="B946" s="903"/>
      <c r="C946" s="720"/>
      <c r="D946" s="720"/>
      <c r="E946" s="720"/>
      <c r="F946" s="720"/>
      <c r="G946" s="906"/>
      <c r="H946" s="720"/>
      <c r="I946" s="720"/>
      <c r="J946" s="720"/>
      <c r="K946" s="907"/>
      <c r="L946" s="720"/>
      <c r="M946" s="720"/>
      <c r="N946" s="720"/>
      <c r="O946" s="720"/>
      <c r="P946" s="720"/>
      <c r="Q946" s="720"/>
      <c r="R946" s="720"/>
      <c r="S946" s="720"/>
      <c r="T946" s="720"/>
      <c r="U946" s="720"/>
      <c r="V946" s="720"/>
      <c r="W946" s="720"/>
      <c r="X946" s="720"/>
      <c r="Y946" s="720"/>
      <c r="Z946" s="720"/>
      <c r="AA946" s="720"/>
      <c r="AB946" s="720"/>
    </row>
    <row r="947" spans="1:28" ht="12.75" customHeight="1">
      <c r="A947" s="902"/>
      <c r="B947" s="903"/>
      <c r="C947" s="720"/>
      <c r="D947" s="720"/>
      <c r="E947" s="720"/>
      <c r="F947" s="720"/>
      <c r="G947" s="906"/>
      <c r="H947" s="720"/>
      <c r="I947" s="720"/>
      <c r="J947" s="720"/>
      <c r="K947" s="907"/>
      <c r="L947" s="720"/>
      <c r="M947" s="720"/>
      <c r="N947" s="720"/>
      <c r="O947" s="720"/>
      <c r="P947" s="720"/>
      <c r="Q947" s="720"/>
      <c r="R947" s="720"/>
      <c r="S947" s="720"/>
      <c r="T947" s="720"/>
      <c r="U947" s="720"/>
      <c r="V947" s="720"/>
      <c r="W947" s="720"/>
      <c r="X947" s="720"/>
      <c r="Y947" s="720"/>
      <c r="Z947" s="720"/>
      <c r="AA947" s="720"/>
      <c r="AB947" s="720"/>
    </row>
    <row r="948" spans="1:28" ht="12.75" customHeight="1">
      <c r="A948" s="902"/>
      <c r="B948" s="903"/>
      <c r="C948" s="720"/>
      <c r="D948" s="720"/>
      <c r="E948" s="720"/>
      <c r="F948" s="720"/>
      <c r="G948" s="906"/>
      <c r="H948" s="720"/>
      <c r="I948" s="720"/>
      <c r="J948" s="720"/>
      <c r="K948" s="907"/>
      <c r="L948" s="720"/>
      <c r="M948" s="720"/>
      <c r="N948" s="720"/>
      <c r="O948" s="720"/>
      <c r="P948" s="720"/>
      <c r="Q948" s="720"/>
      <c r="R948" s="720"/>
      <c r="S948" s="720"/>
      <c r="T948" s="720"/>
      <c r="U948" s="720"/>
      <c r="V948" s="720"/>
      <c r="W948" s="720"/>
      <c r="X948" s="720"/>
      <c r="Y948" s="720"/>
      <c r="Z948" s="720"/>
      <c r="AA948" s="720"/>
      <c r="AB948" s="720"/>
    </row>
    <row r="949" spans="1:28" ht="12.75" customHeight="1">
      <c r="A949" s="902"/>
      <c r="B949" s="903"/>
      <c r="C949" s="720"/>
      <c r="D949" s="720"/>
      <c r="E949" s="720"/>
      <c r="F949" s="720"/>
      <c r="G949" s="906"/>
      <c r="H949" s="720"/>
      <c r="I949" s="720"/>
      <c r="J949" s="720"/>
      <c r="K949" s="907"/>
      <c r="L949" s="720"/>
      <c r="M949" s="720"/>
      <c r="N949" s="720"/>
      <c r="O949" s="720"/>
      <c r="P949" s="720"/>
      <c r="Q949" s="720"/>
      <c r="R949" s="720"/>
      <c r="S949" s="720"/>
      <c r="T949" s="720"/>
      <c r="U949" s="720"/>
      <c r="V949" s="720"/>
      <c r="W949" s="720"/>
      <c r="X949" s="720"/>
      <c r="Y949" s="720"/>
      <c r="Z949" s="720"/>
      <c r="AA949" s="720"/>
      <c r="AB949" s="720"/>
    </row>
    <row r="950" spans="1:28" ht="12.75" customHeight="1">
      <c r="A950" s="902"/>
      <c r="B950" s="903"/>
      <c r="C950" s="720"/>
      <c r="D950" s="720"/>
      <c r="E950" s="720"/>
      <c r="F950" s="720"/>
      <c r="G950" s="906"/>
      <c r="H950" s="720"/>
      <c r="I950" s="720"/>
      <c r="J950" s="720"/>
      <c r="K950" s="907"/>
      <c r="L950" s="720"/>
      <c r="M950" s="720"/>
      <c r="N950" s="720"/>
      <c r="O950" s="720"/>
      <c r="P950" s="720"/>
      <c r="Q950" s="720"/>
      <c r="R950" s="720"/>
      <c r="S950" s="720"/>
      <c r="T950" s="720"/>
      <c r="U950" s="720"/>
      <c r="V950" s="720"/>
      <c r="W950" s="720"/>
      <c r="X950" s="720"/>
      <c r="Y950" s="720"/>
      <c r="Z950" s="720"/>
      <c r="AA950" s="720"/>
      <c r="AB950" s="720"/>
    </row>
    <row r="951" spans="1:28" ht="12.75" customHeight="1">
      <c r="A951" s="902"/>
      <c r="B951" s="903"/>
      <c r="C951" s="720"/>
      <c r="D951" s="720"/>
      <c r="E951" s="720"/>
      <c r="F951" s="720"/>
      <c r="G951" s="906"/>
      <c r="H951" s="720"/>
      <c r="I951" s="720"/>
      <c r="J951" s="720"/>
      <c r="K951" s="907"/>
      <c r="L951" s="720"/>
      <c r="M951" s="720"/>
      <c r="N951" s="720"/>
      <c r="O951" s="720"/>
      <c r="P951" s="720"/>
      <c r="Q951" s="720"/>
      <c r="R951" s="720"/>
      <c r="S951" s="720"/>
      <c r="T951" s="720"/>
      <c r="U951" s="720"/>
      <c r="V951" s="720"/>
      <c r="W951" s="720"/>
      <c r="X951" s="720"/>
      <c r="Y951" s="720"/>
      <c r="Z951" s="720"/>
      <c r="AA951" s="720"/>
      <c r="AB951" s="720"/>
    </row>
    <row r="952" spans="1:28" ht="12.75" customHeight="1">
      <c r="A952" s="902"/>
      <c r="B952" s="903"/>
      <c r="C952" s="720"/>
      <c r="D952" s="720"/>
      <c r="E952" s="720"/>
      <c r="F952" s="720"/>
      <c r="G952" s="906"/>
      <c r="H952" s="720"/>
      <c r="I952" s="720"/>
      <c r="J952" s="720"/>
      <c r="K952" s="907"/>
      <c r="L952" s="720"/>
      <c r="M952" s="720"/>
      <c r="N952" s="720"/>
      <c r="O952" s="720"/>
      <c r="P952" s="720"/>
      <c r="Q952" s="720"/>
      <c r="R952" s="720"/>
      <c r="S952" s="720"/>
      <c r="T952" s="720"/>
      <c r="U952" s="720"/>
      <c r="V952" s="720"/>
      <c r="W952" s="720"/>
      <c r="X952" s="720"/>
      <c r="Y952" s="720"/>
      <c r="Z952" s="720"/>
      <c r="AA952" s="720"/>
      <c r="AB952" s="720"/>
    </row>
    <row r="953" spans="1:28" ht="12.75" customHeight="1">
      <c r="A953" s="902"/>
      <c r="B953" s="903"/>
      <c r="C953" s="720"/>
      <c r="D953" s="720"/>
      <c r="E953" s="720"/>
      <c r="F953" s="720"/>
      <c r="G953" s="906"/>
      <c r="H953" s="720"/>
      <c r="I953" s="720"/>
      <c r="J953" s="720"/>
      <c r="K953" s="907"/>
      <c r="L953" s="720"/>
      <c r="M953" s="720"/>
      <c r="N953" s="720"/>
      <c r="O953" s="720"/>
      <c r="P953" s="720"/>
      <c r="Q953" s="720"/>
      <c r="R953" s="720"/>
      <c r="S953" s="720"/>
      <c r="T953" s="720"/>
      <c r="U953" s="720"/>
      <c r="V953" s="720"/>
      <c r="W953" s="720"/>
      <c r="X953" s="720"/>
      <c r="Y953" s="720"/>
      <c r="Z953" s="720"/>
      <c r="AA953" s="720"/>
      <c r="AB953" s="720"/>
    </row>
    <row r="954" spans="1:28" ht="12.75" customHeight="1">
      <c r="A954" s="902"/>
      <c r="B954" s="903"/>
      <c r="C954" s="720"/>
      <c r="D954" s="720"/>
      <c r="E954" s="720"/>
      <c r="F954" s="720"/>
      <c r="G954" s="906"/>
      <c r="H954" s="720"/>
      <c r="I954" s="720"/>
      <c r="J954" s="720"/>
      <c r="K954" s="907"/>
      <c r="L954" s="720"/>
      <c r="M954" s="720"/>
      <c r="N954" s="720"/>
      <c r="O954" s="720"/>
      <c r="P954" s="720"/>
      <c r="Q954" s="720"/>
      <c r="R954" s="720"/>
      <c r="S954" s="720"/>
      <c r="T954" s="720"/>
      <c r="U954" s="720"/>
      <c r="V954" s="720"/>
      <c r="W954" s="720"/>
      <c r="X954" s="720"/>
      <c r="Y954" s="720"/>
      <c r="Z954" s="720"/>
      <c r="AA954" s="720"/>
      <c r="AB954" s="720"/>
    </row>
    <row r="955" spans="1:28" ht="12.75" customHeight="1">
      <c r="A955" s="902"/>
      <c r="B955" s="903"/>
      <c r="C955" s="720"/>
      <c r="D955" s="720"/>
      <c r="E955" s="720"/>
      <c r="F955" s="720"/>
      <c r="G955" s="906"/>
      <c r="H955" s="720"/>
      <c r="I955" s="720"/>
      <c r="J955" s="720"/>
      <c r="K955" s="907"/>
      <c r="L955" s="720"/>
      <c r="M955" s="720"/>
      <c r="N955" s="720"/>
      <c r="O955" s="720"/>
      <c r="P955" s="720"/>
      <c r="Q955" s="720"/>
      <c r="R955" s="720"/>
      <c r="S955" s="720"/>
      <c r="T955" s="720"/>
      <c r="U955" s="720"/>
      <c r="V955" s="720"/>
      <c r="W955" s="720"/>
      <c r="X955" s="720"/>
      <c r="Y955" s="720"/>
      <c r="Z955" s="720"/>
      <c r="AA955" s="720"/>
      <c r="AB955" s="720"/>
    </row>
    <row r="956" spans="1:28" ht="12.75" customHeight="1">
      <c r="A956" s="902"/>
      <c r="B956" s="903"/>
      <c r="C956" s="720"/>
      <c r="D956" s="720"/>
      <c r="E956" s="720"/>
      <c r="F956" s="720"/>
      <c r="G956" s="906"/>
      <c r="H956" s="720"/>
      <c r="I956" s="720"/>
      <c r="J956" s="720"/>
      <c r="K956" s="907"/>
      <c r="L956" s="720"/>
      <c r="M956" s="720"/>
      <c r="N956" s="720"/>
      <c r="O956" s="720"/>
      <c r="P956" s="720"/>
      <c r="Q956" s="720"/>
      <c r="R956" s="720"/>
      <c r="S956" s="720"/>
      <c r="T956" s="720"/>
      <c r="U956" s="720"/>
      <c r="V956" s="720"/>
      <c r="W956" s="720"/>
      <c r="X956" s="720"/>
      <c r="Y956" s="720"/>
      <c r="Z956" s="720"/>
      <c r="AA956" s="720"/>
      <c r="AB956" s="720"/>
    </row>
    <row r="957" spans="1:28" ht="12.75" customHeight="1">
      <c r="A957" s="902"/>
      <c r="B957" s="903"/>
      <c r="C957" s="720"/>
      <c r="D957" s="720"/>
      <c r="E957" s="720"/>
      <c r="F957" s="720"/>
      <c r="G957" s="906"/>
      <c r="H957" s="720"/>
      <c r="I957" s="720"/>
      <c r="J957" s="720"/>
      <c r="K957" s="907"/>
      <c r="L957" s="720"/>
      <c r="M957" s="720"/>
      <c r="N957" s="720"/>
      <c r="O957" s="720"/>
      <c r="P957" s="720"/>
      <c r="Q957" s="720"/>
      <c r="R957" s="720"/>
      <c r="S957" s="720"/>
      <c r="T957" s="720"/>
      <c r="U957" s="720"/>
      <c r="V957" s="720"/>
      <c r="W957" s="720"/>
      <c r="X957" s="720"/>
      <c r="Y957" s="720"/>
      <c r="Z957" s="720"/>
      <c r="AA957" s="720"/>
      <c r="AB957" s="720"/>
    </row>
    <row r="958" spans="1:28" ht="12.75" customHeight="1">
      <c r="A958" s="902"/>
      <c r="B958" s="903"/>
      <c r="C958" s="720"/>
      <c r="D958" s="720"/>
      <c r="E958" s="720"/>
      <c r="F958" s="720"/>
      <c r="G958" s="906"/>
      <c r="H958" s="720"/>
      <c r="I958" s="720"/>
      <c r="J958" s="720"/>
      <c r="K958" s="907"/>
      <c r="L958" s="720"/>
      <c r="M958" s="720"/>
      <c r="N958" s="720"/>
      <c r="O958" s="720"/>
      <c r="P958" s="720"/>
      <c r="Q958" s="720"/>
      <c r="R958" s="720"/>
      <c r="S958" s="720"/>
      <c r="T958" s="720"/>
      <c r="U958" s="720"/>
      <c r="V958" s="720"/>
      <c r="W958" s="720"/>
      <c r="X958" s="720"/>
      <c r="Y958" s="720"/>
      <c r="Z958" s="720"/>
      <c r="AA958" s="720"/>
      <c r="AB958" s="720"/>
    </row>
    <row r="959" spans="1:28" ht="12.75" customHeight="1">
      <c r="A959" s="902"/>
      <c r="B959" s="903"/>
      <c r="C959" s="720"/>
      <c r="D959" s="720"/>
      <c r="E959" s="720"/>
      <c r="F959" s="720"/>
      <c r="G959" s="906"/>
      <c r="H959" s="720"/>
      <c r="I959" s="720"/>
      <c r="J959" s="720"/>
      <c r="K959" s="907"/>
      <c r="L959" s="720"/>
      <c r="M959" s="720"/>
      <c r="N959" s="720"/>
      <c r="O959" s="720"/>
      <c r="P959" s="720"/>
      <c r="Q959" s="720"/>
      <c r="R959" s="720"/>
      <c r="S959" s="720"/>
      <c r="T959" s="720"/>
      <c r="U959" s="720"/>
      <c r="V959" s="720"/>
      <c r="W959" s="720"/>
      <c r="X959" s="720"/>
      <c r="Y959" s="720"/>
      <c r="Z959" s="720"/>
      <c r="AA959" s="720"/>
      <c r="AB959" s="720"/>
    </row>
    <row r="960" spans="1:28" ht="12.75" customHeight="1">
      <c r="A960" s="902"/>
      <c r="B960" s="903"/>
      <c r="C960" s="720"/>
      <c r="D960" s="720"/>
      <c r="E960" s="720"/>
      <c r="F960" s="720"/>
      <c r="G960" s="906"/>
      <c r="H960" s="720"/>
      <c r="I960" s="720"/>
      <c r="J960" s="720"/>
      <c r="K960" s="907"/>
      <c r="L960" s="720"/>
      <c r="M960" s="720"/>
      <c r="N960" s="720"/>
      <c r="O960" s="720"/>
      <c r="P960" s="720"/>
      <c r="Q960" s="720"/>
      <c r="R960" s="720"/>
      <c r="S960" s="720"/>
      <c r="T960" s="720"/>
      <c r="U960" s="720"/>
      <c r="V960" s="720"/>
      <c r="W960" s="720"/>
      <c r="X960" s="720"/>
      <c r="Y960" s="720"/>
      <c r="Z960" s="720"/>
      <c r="AA960" s="720"/>
      <c r="AB960" s="720"/>
    </row>
    <row r="961" spans="1:28" ht="12.75" customHeight="1">
      <c r="A961" s="902"/>
      <c r="B961" s="903"/>
      <c r="C961" s="720"/>
      <c r="D961" s="720"/>
      <c r="E961" s="720"/>
      <c r="F961" s="720"/>
      <c r="G961" s="906"/>
      <c r="H961" s="720"/>
      <c r="I961" s="720"/>
      <c r="J961" s="720"/>
      <c r="K961" s="907"/>
      <c r="L961" s="720"/>
      <c r="M961" s="720"/>
      <c r="N961" s="720"/>
      <c r="O961" s="720"/>
      <c r="P961" s="720"/>
      <c r="Q961" s="720"/>
      <c r="R961" s="720"/>
      <c r="S961" s="720"/>
      <c r="T961" s="720"/>
      <c r="U961" s="720"/>
      <c r="V961" s="720"/>
      <c r="W961" s="720"/>
      <c r="X961" s="720"/>
      <c r="Y961" s="720"/>
      <c r="Z961" s="720"/>
      <c r="AA961" s="720"/>
      <c r="AB961" s="720"/>
    </row>
    <row r="962" spans="1:28" ht="12.75" customHeight="1">
      <c r="A962" s="902"/>
      <c r="B962" s="903"/>
      <c r="C962" s="720"/>
      <c r="D962" s="720"/>
      <c r="E962" s="720"/>
      <c r="F962" s="720"/>
      <c r="G962" s="906"/>
      <c r="H962" s="720"/>
      <c r="I962" s="720"/>
      <c r="J962" s="720"/>
      <c r="K962" s="907"/>
      <c r="L962" s="720"/>
      <c r="M962" s="720"/>
      <c r="N962" s="720"/>
      <c r="O962" s="720"/>
      <c r="P962" s="720"/>
      <c r="Q962" s="720"/>
      <c r="R962" s="720"/>
      <c r="S962" s="720"/>
      <c r="T962" s="720"/>
      <c r="U962" s="720"/>
      <c r="V962" s="720"/>
      <c r="W962" s="720"/>
      <c r="X962" s="720"/>
      <c r="Y962" s="720"/>
      <c r="Z962" s="720"/>
      <c r="AA962" s="720"/>
      <c r="AB962" s="720"/>
    </row>
    <row r="963" spans="1:28" ht="12.75" customHeight="1">
      <c r="A963" s="902"/>
      <c r="B963" s="903"/>
      <c r="C963" s="720"/>
      <c r="D963" s="720"/>
      <c r="E963" s="720"/>
      <c r="F963" s="720"/>
      <c r="G963" s="906"/>
      <c r="H963" s="720"/>
      <c r="I963" s="720"/>
      <c r="J963" s="720"/>
      <c r="K963" s="907"/>
      <c r="L963" s="720"/>
      <c r="M963" s="720"/>
      <c r="N963" s="720"/>
      <c r="O963" s="720"/>
      <c r="P963" s="720"/>
      <c r="Q963" s="720"/>
      <c r="R963" s="720"/>
      <c r="S963" s="720"/>
      <c r="T963" s="720"/>
      <c r="U963" s="720"/>
      <c r="V963" s="720"/>
      <c r="W963" s="720"/>
      <c r="X963" s="720"/>
      <c r="Y963" s="720"/>
      <c r="Z963" s="720"/>
      <c r="AA963" s="720"/>
      <c r="AB963" s="720"/>
    </row>
    <row r="964" spans="1:28" ht="12.75" customHeight="1">
      <c r="A964" s="902"/>
      <c r="B964" s="903"/>
      <c r="C964" s="720"/>
      <c r="D964" s="720"/>
      <c r="E964" s="720"/>
      <c r="F964" s="720"/>
      <c r="G964" s="906"/>
      <c r="H964" s="720"/>
      <c r="I964" s="720"/>
      <c r="J964" s="720"/>
      <c r="K964" s="907"/>
      <c r="L964" s="720"/>
      <c r="M964" s="720"/>
      <c r="N964" s="720"/>
      <c r="O964" s="720"/>
      <c r="P964" s="720"/>
      <c r="Q964" s="720"/>
      <c r="R964" s="720"/>
      <c r="S964" s="720"/>
      <c r="T964" s="720"/>
      <c r="U964" s="720"/>
      <c r="V964" s="720"/>
      <c r="W964" s="720"/>
      <c r="X964" s="720"/>
      <c r="Y964" s="720"/>
      <c r="Z964" s="720"/>
      <c r="AA964" s="720"/>
      <c r="AB964" s="720"/>
    </row>
    <row r="965" spans="1:28" ht="12.75" customHeight="1">
      <c r="A965" s="902"/>
      <c r="B965" s="903"/>
      <c r="C965" s="720"/>
      <c r="D965" s="720"/>
      <c r="E965" s="720"/>
      <c r="F965" s="720"/>
      <c r="G965" s="906"/>
      <c r="H965" s="720"/>
      <c r="I965" s="720"/>
      <c r="J965" s="720"/>
      <c r="K965" s="907"/>
      <c r="L965" s="720"/>
      <c r="M965" s="720"/>
      <c r="N965" s="720"/>
      <c r="O965" s="720"/>
      <c r="P965" s="720"/>
      <c r="Q965" s="720"/>
      <c r="R965" s="720"/>
      <c r="S965" s="720"/>
      <c r="T965" s="720"/>
      <c r="U965" s="720"/>
      <c r="V965" s="720"/>
      <c r="W965" s="720"/>
      <c r="X965" s="720"/>
      <c r="Y965" s="720"/>
      <c r="Z965" s="720"/>
      <c r="AA965" s="720"/>
      <c r="AB965" s="720"/>
    </row>
    <row r="966" spans="1:28" ht="12.75" customHeight="1">
      <c r="A966" s="902"/>
      <c r="B966" s="903"/>
      <c r="C966" s="720"/>
      <c r="D966" s="720"/>
      <c r="E966" s="720"/>
      <c r="F966" s="720"/>
      <c r="G966" s="906"/>
      <c r="H966" s="720"/>
      <c r="I966" s="720"/>
      <c r="J966" s="720"/>
      <c r="K966" s="907"/>
      <c r="L966" s="720"/>
      <c r="M966" s="720"/>
      <c r="N966" s="720"/>
      <c r="O966" s="720"/>
      <c r="P966" s="720"/>
      <c r="Q966" s="720"/>
      <c r="R966" s="720"/>
      <c r="S966" s="720"/>
      <c r="T966" s="720"/>
      <c r="U966" s="720"/>
      <c r="V966" s="720"/>
      <c r="W966" s="720"/>
      <c r="X966" s="720"/>
      <c r="Y966" s="720"/>
      <c r="Z966" s="720"/>
      <c r="AA966" s="720"/>
      <c r="AB966" s="720"/>
    </row>
    <row r="967" spans="1:28" ht="12.75" customHeight="1">
      <c r="A967" s="902"/>
      <c r="B967" s="903"/>
      <c r="C967" s="720"/>
      <c r="D967" s="720"/>
      <c r="E967" s="720"/>
      <c r="F967" s="720"/>
      <c r="G967" s="906"/>
      <c r="H967" s="720"/>
      <c r="I967" s="720"/>
      <c r="J967" s="720"/>
      <c r="K967" s="907"/>
      <c r="L967" s="720"/>
      <c r="M967" s="720"/>
      <c r="N967" s="720"/>
      <c r="O967" s="720"/>
      <c r="P967" s="720"/>
      <c r="Q967" s="720"/>
      <c r="R967" s="720"/>
      <c r="S967" s="720"/>
      <c r="T967" s="720"/>
      <c r="U967" s="720"/>
      <c r="V967" s="720"/>
      <c r="W967" s="720"/>
      <c r="X967" s="720"/>
      <c r="Y967" s="720"/>
      <c r="Z967" s="720"/>
      <c r="AA967" s="720"/>
      <c r="AB967" s="720"/>
    </row>
    <row r="968" spans="1:28" ht="12.75" customHeight="1">
      <c r="A968" s="902"/>
      <c r="B968" s="903"/>
      <c r="C968" s="720"/>
      <c r="D968" s="720"/>
      <c r="E968" s="720"/>
      <c r="F968" s="720"/>
      <c r="G968" s="906"/>
      <c r="H968" s="720"/>
      <c r="I968" s="720"/>
      <c r="J968" s="720"/>
      <c r="K968" s="907"/>
      <c r="L968" s="720"/>
      <c r="M968" s="720"/>
      <c r="N968" s="720"/>
      <c r="O968" s="720"/>
      <c r="P968" s="720"/>
      <c r="Q968" s="720"/>
      <c r="R968" s="720"/>
      <c r="S968" s="720"/>
      <c r="T968" s="720"/>
      <c r="U968" s="720"/>
      <c r="V968" s="720"/>
      <c r="W968" s="720"/>
      <c r="X968" s="720"/>
      <c r="Y968" s="720"/>
      <c r="Z968" s="720"/>
      <c r="AA968" s="720"/>
      <c r="AB968" s="720"/>
    </row>
    <row r="969" spans="1:28" ht="12.75" customHeight="1">
      <c r="A969" s="902"/>
      <c r="B969" s="903"/>
      <c r="C969" s="720"/>
      <c r="D969" s="720"/>
      <c r="E969" s="720"/>
      <c r="F969" s="720"/>
      <c r="G969" s="906"/>
      <c r="H969" s="720"/>
      <c r="I969" s="720"/>
      <c r="J969" s="720"/>
      <c r="K969" s="907"/>
      <c r="L969" s="720"/>
      <c r="M969" s="720"/>
      <c r="N969" s="720"/>
      <c r="O969" s="720"/>
      <c r="P969" s="720"/>
      <c r="Q969" s="720"/>
      <c r="R969" s="720"/>
      <c r="S969" s="720"/>
      <c r="T969" s="720"/>
      <c r="U969" s="720"/>
      <c r="V969" s="720"/>
      <c r="W969" s="720"/>
      <c r="X969" s="720"/>
      <c r="Y969" s="720"/>
      <c r="Z969" s="720"/>
      <c r="AA969" s="720"/>
      <c r="AB969" s="720"/>
    </row>
    <row r="970" spans="1:28" ht="12.75" customHeight="1">
      <c r="A970" s="902"/>
      <c r="B970" s="903"/>
      <c r="C970" s="720"/>
      <c r="D970" s="720"/>
      <c r="E970" s="720"/>
      <c r="F970" s="720"/>
      <c r="G970" s="906"/>
      <c r="H970" s="720"/>
      <c r="I970" s="720"/>
      <c r="J970" s="720"/>
      <c r="K970" s="907"/>
      <c r="L970" s="720"/>
      <c r="M970" s="720"/>
      <c r="N970" s="720"/>
      <c r="O970" s="720"/>
      <c r="P970" s="720"/>
      <c r="Q970" s="720"/>
      <c r="R970" s="720"/>
      <c r="S970" s="720"/>
      <c r="T970" s="720"/>
      <c r="U970" s="720"/>
      <c r="V970" s="720"/>
      <c r="W970" s="720"/>
      <c r="X970" s="720"/>
      <c r="Y970" s="720"/>
      <c r="Z970" s="720"/>
      <c r="AA970" s="720"/>
      <c r="AB970" s="720"/>
    </row>
    <row r="971" spans="1:28" ht="12.75" customHeight="1">
      <c r="A971" s="902"/>
      <c r="B971" s="903"/>
      <c r="C971" s="720"/>
      <c r="D971" s="720"/>
      <c r="E971" s="720"/>
      <c r="F971" s="720"/>
      <c r="G971" s="906"/>
      <c r="H971" s="720"/>
      <c r="I971" s="720"/>
      <c r="J971" s="720"/>
      <c r="K971" s="907"/>
      <c r="L971" s="720"/>
      <c r="M971" s="720"/>
      <c r="N971" s="720"/>
      <c r="O971" s="720"/>
      <c r="P971" s="720"/>
      <c r="Q971" s="720"/>
      <c r="R971" s="720"/>
      <c r="S971" s="720"/>
      <c r="T971" s="720"/>
      <c r="U971" s="720"/>
      <c r="V971" s="720"/>
      <c r="W971" s="720"/>
      <c r="X971" s="720"/>
      <c r="Y971" s="720"/>
      <c r="Z971" s="720"/>
      <c r="AA971" s="720"/>
      <c r="AB971" s="720"/>
    </row>
    <row r="972" spans="1:28" ht="12.75" customHeight="1">
      <c r="A972" s="902"/>
      <c r="B972" s="903"/>
      <c r="C972" s="720"/>
      <c r="D972" s="720"/>
      <c r="E972" s="720"/>
      <c r="F972" s="720"/>
      <c r="G972" s="906"/>
      <c r="H972" s="720"/>
      <c r="I972" s="720"/>
      <c r="J972" s="720"/>
      <c r="K972" s="907"/>
      <c r="L972" s="720"/>
      <c r="M972" s="720"/>
      <c r="N972" s="720"/>
      <c r="O972" s="720"/>
      <c r="P972" s="720"/>
      <c r="Q972" s="720"/>
      <c r="R972" s="720"/>
      <c r="S972" s="720"/>
      <c r="T972" s="720"/>
      <c r="U972" s="720"/>
      <c r="V972" s="720"/>
      <c r="W972" s="720"/>
      <c r="X972" s="720"/>
      <c r="Y972" s="720"/>
      <c r="Z972" s="720"/>
      <c r="AA972" s="720"/>
      <c r="AB972" s="720"/>
    </row>
  </sheetData>
  <mergeCells count="18">
    <mergeCell ref="A136:I136"/>
    <mergeCell ref="B1:E1"/>
    <mergeCell ref="F1:I1"/>
    <mergeCell ref="P1:S1"/>
    <mergeCell ref="U1:W1"/>
    <mergeCell ref="A135:I135"/>
    <mergeCell ref="A148:I148"/>
    <mergeCell ref="A137:I137"/>
    <mergeCell ref="A138:I138"/>
    <mergeCell ref="A139:I139"/>
    <mergeCell ref="A140:I140"/>
    <mergeCell ref="A141:I141"/>
    <mergeCell ref="A142:I142"/>
    <mergeCell ref="A143:I143"/>
    <mergeCell ref="A144:I144"/>
    <mergeCell ref="A145:I145"/>
    <mergeCell ref="A146:I146"/>
    <mergeCell ref="A147:I1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00"/>
  <sheetViews>
    <sheetView tabSelected="1" topLeftCell="A114" workbookViewId="0">
      <selection activeCell="B13" sqref="B13"/>
    </sheetView>
  </sheetViews>
  <sheetFormatPr defaultColWidth="14.42578125" defaultRowHeight="15" customHeight="1"/>
  <cols>
    <col min="1" max="1" width="11.28515625" customWidth="1"/>
    <col min="2" max="2" width="41.140625" customWidth="1"/>
    <col min="3" max="14" width="4.7109375" customWidth="1"/>
    <col min="15" max="22" width="5.7109375" hidden="1" customWidth="1"/>
    <col min="23" max="23" width="15" customWidth="1"/>
    <col min="24" max="24" width="18" customWidth="1"/>
    <col min="25" max="25" width="19.7109375" customWidth="1"/>
    <col min="26" max="26" width="12" hidden="1" customWidth="1"/>
    <col min="27" max="27" width="10.7109375" hidden="1" customWidth="1"/>
    <col min="28" max="28" width="14.140625" hidden="1" customWidth="1"/>
    <col min="29" max="30" width="10.7109375" hidden="1" customWidth="1"/>
    <col min="31" max="31" width="14" customWidth="1"/>
  </cols>
  <sheetData>
    <row r="1" spans="1:31" ht="60">
      <c r="A1" s="186"/>
      <c r="B1" s="186"/>
      <c r="C1" s="187"/>
      <c r="D1" s="187"/>
      <c r="E1" s="187"/>
      <c r="F1" s="187"/>
      <c r="G1" s="187"/>
      <c r="H1" s="187"/>
      <c r="I1" s="187"/>
      <c r="J1" s="187"/>
      <c r="K1" s="187"/>
      <c r="L1" s="187"/>
      <c r="M1" s="187"/>
      <c r="N1" s="187"/>
      <c r="O1" s="187" t="s">
        <v>449</v>
      </c>
      <c r="P1" s="187"/>
      <c r="Q1" s="187"/>
      <c r="R1" s="187"/>
      <c r="S1" s="187"/>
      <c r="T1" s="187"/>
      <c r="U1" s="187"/>
      <c r="V1" s="187"/>
      <c r="W1" s="186"/>
      <c r="X1" s="187"/>
      <c r="Y1" s="187"/>
      <c r="Z1" s="188" t="s">
        <v>450</v>
      </c>
      <c r="AA1" s="189" t="s">
        <v>451</v>
      </c>
    </row>
    <row r="2" spans="1:31">
      <c r="A2" s="190"/>
      <c r="B2" s="190"/>
      <c r="C2" s="996" t="str">
        <f ca="1">IFERROR(__xludf.DUMMYFUNCTION("GOOGLETRANSLATE('Workplan year2'!C2,""en"",""fr"")"),"                                                                     Plan de travail Année 2 (commence fin mars 2022)")</f>
        <v xml:space="preserve">                                                                     Plan de travail Année 2 (commence fin mars 2022)</v>
      </c>
      <c r="D2" s="935"/>
      <c r="E2" s="935"/>
      <c r="F2" s="935"/>
      <c r="G2" s="935"/>
      <c r="H2" s="935"/>
      <c r="I2" s="935"/>
      <c r="J2" s="935"/>
      <c r="K2" s="935"/>
      <c r="L2" s="935"/>
      <c r="M2" s="935"/>
      <c r="N2" s="935"/>
      <c r="O2" s="935"/>
      <c r="P2" s="935"/>
      <c r="Q2" s="935"/>
      <c r="R2" s="935"/>
      <c r="S2" s="935"/>
      <c r="T2" s="935"/>
      <c r="U2" s="935"/>
      <c r="V2" s="935"/>
      <c r="W2" s="935"/>
      <c r="X2" s="958"/>
      <c r="Y2" s="996" t="str">
        <f ca="1">IFERROR(__xludf.DUMMYFUNCTION("GOOGLETRANSLATE('Workplan year2'!Y2,""en"",""fr"")"),"Année budgétaire 2")</f>
        <v>Année budgétaire 2</v>
      </c>
      <c r="Z2" s="935"/>
      <c r="AA2" s="935"/>
      <c r="AB2" s="935"/>
      <c r="AC2" s="935"/>
      <c r="AD2" s="935"/>
      <c r="AE2" s="958"/>
    </row>
    <row r="3" spans="1:31" ht="36" customHeight="1">
      <c r="A3" s="190"/>
      <c r="B3" s="190"/>
      <c r="C3" s="997" t="str">
        <f ca="1">IFERROR(__xludf.DUMMYFUNCTION("GOOGLETRANSLATE('Workplan year2'!C3,""en"",""fr"")"),"                                        Année 2")</f>
        <v xml:space="preserve">                                        Année 2</v>
      </c>
      <c r="D3" s="935"/>
      <c r="E3" s="935"/>
      <c r="F3" s="935"/>
      <c r="G3" s="935"/>
      <c r="H3" s="935"/>
      <c r="I3" s="935"/>
      <c r="J3" s="935"/>
      <c r="K3" s="935"/>
      <c r="L3" s="935"/>
      <c r="M3" s="935"/>
      <c r="N3" s="958"/>
      <c r="O3" s="998" t="s">
        <v>456</v>
      </c>
      <c r="P3" s="958"/>
      <c r="Q3" s="998" t="s">
        <v>457</v>
      </c>
      <c r="R3" s="958"/>
      <c r="S3" s="998" t="s">
        <v>458</v>
      </c>
      <c r="T3" s="958"/>
      <c r="U3" s="998" t="s">
        <v>459</v>
      </c>
      <c r="V3" s="958"/>
      <c r="W3" s="190"/>
      <c r="X3" s="194"/>
      <c r="Y3" s="195"/>
      <c r="Z3" s="988" t="s">
        <v>460</v>
      </c>
      <c r="AA3" s="942"/>
      <c r="AB3" s="187" t="s">
        <v>461</v>
      </c>
      <c r="AE3" s="196"/>
    </row>
    <row r="4" spans="1:31">
      <c r="A4" s="983"/>
      <c r="B4" s="984" t="s">
        <v>462</v>
      </c>
      <c r="C4" s="197" t="s">
        <v>463</v>
      </c>
      <c r="D4" s="197" t="s">
        <v>463</v>
      </c>
      <c r="E4" s="197" t="s">
        <v>463</v>
      </c>
      <c r="F4" s="197" t="s">
        <v>463</v>
      </c>
      <c r="G4" s="197" t="s">
        <v>463</v>
      </c>
      <c r="H4" s="197" t="s">
        <v>463</v>
      </c>
      <c r="I4" s="197" t="s">
        <v>463</v>
      </c>
      <c r="J4" s="197" t="s">
        <v>463</v>
      </c>
      <c r="K4" s="197" t="s">
        <v>463</v>
      </c>
      <c r="L4" s="197" t="s">
        <v>463</v>
      </c>
      <c r="M4" s="197" t="s">
        <v>463</v>
      </c>
      <c r="N4" s="197" t="s">
        <v>463</v>
      </c>
      <c r="O4" s="197" t="s">
        <v>464</v>
      </c>
      <c r="P4" s="197" t="s">
        <v>464</v>
      </c>
      <c r="Q4" s="197" t="s">
        <v>464</v>
      </c>
      <c r="R4" s="197" t="s">
        <v>464</v>
      </c>
      <c r="S4" s="197" t="s">
        <v>464</v>
      </c>
      <c r="T4" s="197" t="s">
        <v>464</v>
      </c>
      <c r="U4" s="197" t="s">
        <v>464</v>
      </c>
      <c r="V4" s="197" t="s">
        <v>464</v>
      </c>
      <c r="W4" s="984" t="str">
        <f ca="1">IFERROR(__xludf.DUMMYFUNCTION("GOOGLETRANSLATE('Workplan year2'!W4,""en"",""fr"")")," Partenaire principal")</f>
        <v xml:space="preserve"> Partenaire principal</v>
      </c>
      <c r="X4" s="984" t="str">
        <f ca="1">IFERROR(__xludf.DUMMYFUNCTION("GOOGLETRANSLATE('Workplan year2'!X4,""en"",""fr"")"),"             Autres partenaires")</f>
        <v xml:space="preserve">             Autres partenaires</v>
      </c>
      <c r="Y4" s="995"/>
      <c r="Z4" s="198"/>
      <c r="AA4" s="199"/>
      <c r="AE4" s="196"/>
    </row>
    <row r="5" spans="1:31">
      <c r="A5" s="970"/>
      <c r="B5" s="970"/>
      <c r="C5" s="200">
        <v>1</v>
      </c>
      <c r="D5" s="200">
        <v>2</v>
      </c>
      <c r="E5" s="200">
        <v>3</v>
      </c>
      <c r="F5" s="200">
        <v>4</v>
      </c>
      <c r="G5" s="200">
        <v>5</v>
      </c>
      <c r="H5" s="200">
        <v>6</v>
      </c>
      <c r="I5" s="200">
        <v>7</v>
      </c>
      <c r="J5" s="200">
        <v>8</v>
      </c>
      <c r="K5" s="200">
        <v>9</v>
      </c>
      <c r="L5" s="200">
        <v>10</v>
      </c>
      <c r="M5" s="200">
        <v>11</v>
      </c>
      <c r="N5" s="200">
        <v>12</v>
      </c>
      <c r="O5" s="200" t="s">
        <v>467</v>
      </c>
      <c r="P5" s="200" t="s">
        <v>468</v>
      </c>
      <c r="Q5" s="200" t="s">
        <v>467</v>
      </c>
      <c r="R5" s="200" t="s">
        <v>468</v>
      </c>
      <c r="S5" s="200" t="s">
        <v>467</v>
      </c>
      <c r="T5" s="200" t="s">
        <v>468</v>
      </c>
      <c r="U5" s="200" t="s">
        <v>467</v>
      </c>
      <c r="V5" s="200" t="s">
        <v>468</v>
      </c>
      <c r="W5" s="970"/>
      <c r="X5" s="970"/>
      <c r="Y5" s="970"/>
      <c r="Z5" s="198"/>
      <c r="AA5" s="199"/>
      <c r="AE5" s="196"/>
    </row>
    <row r="6" spans="1:31">
      <c r="A6" s="985" t="str">
        <f ca="1">IFERROR(__xludf.DUMMYFUNCTION("GOOGLETRANSLATE('Workplan year2'!A6,""en"",""fr"")"),"Préparations et déploiement du personnel du projet")</f>
        <v>Préparations et déploiement du personnel du projet</v>
      </c>
      <c r="B6" s="958"/>
      <c r="C6" s="201"/>
      <c r="D6" s="201"/>
      <c r="E6" s="201"/>
      <c r="F6" s="201"/>
      <c r="G6" s="201"/>
      <c r="H6" s="201"/>
      <c r="I6" s="201"/>
      <c r="J6" s="201"/>
      <c r="K6" s="201"/>
      <c r="L6" s="201"/>
      <c r="M6" s="201"/>
      <c r="N6" s="201"/>
      <c r="O6" s="201"/>
      <c r="P6" s="201"/>
      <c r="Q6" s="201"/>
      <c r="R6" s="201"/>
      <c r="S6" s="201"/>
      <c r="T6" s="201"/>
      <c r="U6" s="201"/>
      <c r="V6" s="201"/>
      <c r="W6" s="190"/>
      <c r="X6" s="194"/>
      <c r="Y6" s="202"/>
      <c r="Z6" s="198"/>
      <c r="AA6" s="199"/>
      <c r="AE6" s="196"/>
    </row>
    <row r="7" spans="1:31" ht="36.75" customHeight="1">
      <c r="A7" s="203" t="s">
        <v>470</v>
      </c>
      <c r="B7" s="204" t="str">
        <f ca="1">IFERROR(__xludf.DUMMYFUNCTION("GOOGLETRANSLATE('Workplan year2'!B7,""en"",""fr"")"),"Recrutement de personnel supplémentaire d'Acmad Climsa")</f>
        <v>Recrutement de personnel supplémentaire d'Acmad Climsa</v>
      </c>
      <c r="C7" s="205"/>
      <c r="D7" s="205"/>
      <c r="E7" s="205"/>
      <c r="F7" s="206"/>
      <c r="G7" s="206"/>
      <c r="H7" s="206"/>
      <c r="I7" s="206"/>
      <c r="J7" s="206"/>
      <c r="K7" s="206"/>
      <c r="L7" s="206"/>
      <c r="M7" s="206"/>
      <c r="N7" s="206"/>
      <c r="O7" s="195"/>
      <c r="P7" s="195"/>
      <c r="Q7" s="195"/>
      <c r="R7" s="195"/>
      <c r="S7" s="195"/>
      <c r="T7" s="195"/>
      <c r="U7" s="195"/>
      <c r="V7" s="195"/>
      <c r="W7" s="190" t="s">
        <v>472</v>
      </c>
      <c r="X7" s="194" t="s">
        <v>473</v>
      </c>
      <c r="Y7" s="202"/>
      <c r="Z7" s="198"/>
      <c r="AA7" s="199"/>
      <c r="AE7" s="196"/>
    </row>
    <row r="8" spans="1:31" ht="55.5" customHeight="1">
      <c r="A8" s="207" t="s">
        <v>474</v>
      </c>
      <c r="B8" s="204" t="str">
        <f ca="1">IFERROR(__xludf.DUMMYFUNCTION("GOOGLETRANSLATE('Workplan year2'!B8,""en"",""fr"")"),"Formation du personnel sur la gestion de projet et l'UE, l'UA et les procédures administratives, d'approvisionnement, de comptabilité et financières standard")</f>
        <v>Formation du personnel sur la gestion de projet et l'UE, l'UA et les procédures administratives, d'approvisionnement, de comptabilité et financières standard</v>
      </c>
      <c r="C8" s="208"/>
      <c r="D8" s="209"/>
      <c r="E8" s="209"/>
      <c r="F8" s="209"/>
      <c r="G8" s="209"/>
      <c r="H8" s="209"/>
      <c r="I8" s="209"/>
      <c r="J8" s="209"/>
      <c r="K8" s="209"/>
      <c r="L8" s="209"/>
      <c r="M8" s="209"/>
      <c r="N8" s="209"/>
      <c r="O8" s="208"/>
      <c r="P8" s="208"/>
      <c r="Q8" s="208"/>
      <c r="R8" s="208"/>
      <c r="S8" s="208"/>
      <c r="T8" s="208"/>
      <c r="U8" s="208"/>
      <c r="V8" s="208"/>
      <c r="W8" s="210" t="s">
        <v>476</v>
      </c>
      <c r="X8" s="211" t="s">
        <v>477</v>
      </c>
      <c r="Y8" s="202"/>
      <c r="Z8" s="198"/>
      <c r="AA8" s="199"/>
      <c r="AE8" s="196"/>
    </row>
    <row r="9" spans="1:31" ht="40.5" customHeight="1">
      <c r="A9" s="207" t="s">
        <v>478</v>
      </c>
      <c r="B9" s="204" t="str">
        <f ca="1">IFERROR(__xludf.DUMMYFUNCTION("GOOGLETRANSLATE('Workplan year2'!B9,""en"",""fr"")"),"Préparation des documents du projet et formation sur la gestion de la base de résultats")</f>
        <v>Préparation des documents du projet et formation sur la gestion de la base de résultats</v>
      </c>
      <c r="C9" s="208"/>
      <c r="D9" s="208"/>
      <c r="E9" s="208"/>
      <c r="F9" s="209"/>
      <c r="G9" s="209"/>
      <c r="H9" s="209"/>
      <c r="I9" s="209"/>
      <c r="J9" s="209"/>
      <c r="K9" s="209"/>
      <c r="L9" s="209"/>
      <c r="M9" s="208"/>
      <c r="N9" s="208"/>
      <c r="O9" s="208"/>
      <c r="P9" s="208"/>
      <c r="Q9" s="208"/>
      <c r="R9" s="208"/>
      <c r="S9" s="208"/>
      <c r="T9" s="208"/>
      <c r="U9" s="208"/>
      <c r="V9" s="208"/>
      <c r="W9" s="210" t="s">
        <v>480</v>
      </c>
      <c r="X9" s="212"/>
      <c r="Y9" s="213"/>
      <c r="Z9" s="198"/>
      <c r="AA9" s="199"/>
      <c r="AE9" s="196"/>
    </row>
    <row r="10" spans="1:31" ht="38.25">
      <c r="A10" s="207" t="s">
        <v>481</v>
      </c>
      <c r="B10" s="204" t="s">
        <v>1455</v>
      </c>
      <c r="C10" s="208"/>
      <c r="D10" s="208"/>
      <c r="E10" s="209"/>
      <c r="F10" s="209"/>
      <c r="G10" s="208"/>
      <c r="H10" s="208"/>
      <c r="I10" s="209"/>
      <c r="J10" s="209"/>
      <c r="K10" s="209"/>
      <c r="L10" s="209"/>
      <c r="M10" s="209"/>
      <c r="N10" s="208"/>
      <c r="O10" s="208"/>
      <c r="P10" s="208"/>
      <c r="Q10" s="208"/>
      <c r="R10" s="208"/>
      <c r="S10" s="208"/>
      <c r="T10" s="208"/>
      <c r="U10" s="208"/>
      <c r="V10" s="208"/>
      <c r="W10" s="210" t="s">
        <v>472</v>
      </c>
      <c r="X10" s="212" t="s">
        <v>483</v>
      </c>
      <c r="Y10" s="213"/>
      <c r="Z10" s="198"/>
      <c r="AA10" s="199"/>
      <c r="AE10" s="196"/>
    </row>
    <row r="11" spans="1:31" ht="63.75">
      <c r="A11" s="207" t="s">
        <v>484</v>
      </c>
      <c r="B11" s="204" t="str">
        <f ca="1">IFERROR(__xludf.DUMMYFUNCTION("GOOGLETRANSLATE('Workplan year2'!B11,""en"",""fr"")"),"Préparation des réunions techniques des parties prenantes et des FORA, notamment AU, ACMAD, WMO, JRC, Eumetsat, DRR Platform et AWGDRR, Climhealth, Pan African Farmers Organisation…")</f>
        <v>Préparation des réunions techniques des parties prenantes et des FORA, notamment AU, ACMAD, WMO, JRC, Eumetsat, DRR Platform et AWGDRR, Climhealth, Pan African Farmers Organisation…</v>
      </c>
      <c r="C11" s="208"/>
      <c r="D11" s="208"/>
      <c r="E11" s="208"/>
      <c r="F11" s="208"/>
      <c r="G11" s="209"/>
      <c r="H11" s="209"/>
      <c r="I11" s="209"/>
      <c r="J11" s="209"/>
      <c r="K11" s="209"/>
      <c r="L11" s="209"/>
      <c r="M11" s="209"/>
      <c r="N11" s="208"/>
      <c r="O11" s="208"/>
      <c r="P11" s="208"/>
      <c r="Q11" s="208"/>
      <c r="R11" s="208"/>
      <c r="S11" s="208"/>
      <c r="T11" s="208"/>
      <c r="U11" s="208"/>
      <c r="V11" s="208"/>
      <c r="W11" s="210" t="s">
        <v>472</v>
      </c>
      <c r="X11" s="212" t="s">
        <v>483</v>
      </c>
      <c r="Y11" s="213"/>
      <c r="Z11" s="198"/>
      <c r="AA11" s="199"/>
      <c r="AE11" s="196"/>
    </row>
    <row r="12" spans="1:31" ht="45.75" customHeight="1">
      <c r="A12" s="207" t="s">
        <v>486</v>
      </c>
      <c r="B12" s="204" t="str">
        <f ca="1">IFERROR(__xludf.DUMMYFUNCTION("GOOGLETRANSLATE('Workplan year2'!B12,""en"",""fr"")"),"Coordination interne et externe, organisation, réalisation, contrôle et rapport, examine les réunions")</f>
        <v>Coordination interne et externe, organisation, réalisation, contrôle et rapport, examine les réunions</v>
      </c>
      <c r="C12" s="209"/>
      <c r="D12" s="209"/>
      <c r="E12" s="209"/>
      <c r="F12" s="209"/>
      <c r="G12" s="209"/>
      <c r="H12" s="209"/>
      <c r="I12" s="209"/>
      <c r="J12" s="209"/>
      <c r="K12" s="209"/>
      <c r="L12" s="209"/>
      <c r="M12" s="209"/>
      <c r="N12" s="209"/>
      <c r="O12" s="208"/>
      <c r="P12" s="208"/>
      <c r="Q12" s="208"/>
      <c r="R12" s="208"/>
      <c r="S12" s="208"/>
      <c r="T12" s="208"/>
      <c r="U12" s="208"/>
      <c r="V12" s="208"/>
      <c r="W12" s="210" t="s">
        <v>472</v>
      </c>
      <c r="X12" s="212"/>
      <c r="Y12" s="213"/>
      <c r="Z12" s="198"/>
      <c r="AA12" s="199"/>
      <c r="AE12" s="196"/>
    </row>
    <row r="13" spans="1:31" ht="42.75" customHeight="1">
      <c r="A13" s="207" t="s">
        <v>488</v>
      </c>
      <c r="B13" s="204" t="s">
        <v>1457</v>
      </c>
      <c r="C13" s="209"/>
      <c r="D13" s="209"/>
      <c r="E13" s="209"/>
      <c r="F13" s="209"/>
      <c r="G13" s="209"/>
      <c r="H13" s="209"/>
      <c r="I13" s="209"/>
      <c r="J13" s="209"/>
      <c r="K13" s="209"/>
      <c r="L13" s="209"/>
      <c r="M13" s="209"/>
      <c r="N13" s="209"/>
      <c r="O13" s="208"/>
      <c r="P13" s="208"/>
      <c r="Q13" s="208"/>
      <c r="R13" s="208"/>
      <c r="S13" s="208"/>
      <c r="T13" s="208"/>
      <c r="U13" s="208"/>
      <c r="V13" s="208"/>
      <c r="W13" s="210"/>
      <c r="X13" s="212"/>
      <c r="Y13" s="213"/>
      <c r="Z13" s="198"/>
      <c r="AA13" s="199"/>
      <c r="AE13" s="196"/>
    </row>
    <row r="14" spans="1:31" ht="57.75" customHeight="1">
      <c r="A14" s="207" t="s">
        <v>490</v>
      </c>
      <c r="B14" s="204" t="s">
        <v>1456</v>
      </c>
      <c r="C14" s="208"/>
      <c r="D14" s="208"/>
      <c r="E14" s="208"/>
      <c r="F14" s="209"/>
      <c r="G14" s="206"/>
      <c r="H14" s="209"/>
      <c r="I14" s="208"/>
      <c r="J14" s="208"/>
      <c r="K14" s="208"/>
      <c r="L14" s="208"/>
      <c r="M14" s="208"/>
      <c r="N14" s="208"/>
      <c r="O14" s="208"/>
      <c r="P14" s="208"/>
      <c r="Q14" s="208"/>
      <c r="R14" s="208"/>
      <c r="S14" s="208"/>
      <c r="T14" s="208"/>
      <c r="U14" s="208"/>
      <c r="V14" s="208"/>
      <c r="W14" s="210" t="s">
        <v>472</v>
      </c>
      <c r="X14" s="211" t="s">
        <v>492</v>
      </c>
      <c r="Y14" s="202"/>
      <c r="Z14" s="198"/>
      <c r="AA14" s="199"/>
      <c r="AE14" s="196"/>
    </row>
    <row r="15" spans="1:31">
      <c r="A15" s="214"/>
      <c r="B15" s="986" t="s">
        <v>493</v>
      </c>
      <c r="C15" s="935"/>
      <c r="D15" s="935"/>
      <c r="E15" s="935"/>
      <c r="F15" s="935"/>
      <c r="G15" s="935"/>
      <c r="H15" s="935"/>
      <c r="I15" s="935"/>
      <c r="J15" s="935"/>
      <c r="K15" s="935"/>
      <c r="L15" s="935"/>
      <c r="M15" s="935"/>
      <c r="N15" s="935"/>
      <c r="O15" s="935"/>
      <c r="P15" s="935"/>
      <c r="Q15" s="935"/>
      <c r="R15" s="935"/>
      <c r="S15" s="935"/>
      <c r="T15" s="935"/>
      <c r="U15" s="935"/>
      <c r="V15" s="935"/>
      <c r="W15" s="935"/>
      <c r="X15" s="987"/>
      <c r="Y15" s="215">
        <f>242339.901</f>
        <v>242339.90100000001</v>
      </c>
      <c r="Z15" s="198"/>
      <c r="AA15" s="199"/>
      <c r="AB15" s="196">
        <f>242339.901</f>
        <v>242339.90100000001</v>
      </c>
      <c r="AC15" s="196"/>
      <c r="AD15" s="196"/>
      <c r="AE15" s="216">
        <f>Y15/Y116</f>
        <v>0.17391304344705907</v>
      </c>
    </row>
    <row r="16" spans="1:31" ht="25.5">
      <c r="A16" s="210" t="s">
        <v>494</v>
      </c>
      <c r="B16" s="191" t="str">
        <f ca="1">IFERROR(__xludf.DUMMYFUNCTION("GOOGLETRANSLATE('Workplan year2'!B16,""en"",""fr"")"),"Activité 1.1: Concevoir et développer des interfaces utilisateur")</f>
        <v>Activité 1.1: Concevoir et développer des interfaces utilisateur</v>
      </c>
      <c r="C16" s="195"/>
      <c r="D16" s="195"/>
      <c r="E16" s="195"/>
      <c r="F16" s="217"/>
      <c r="G16" s="217"/>
      <c r="H16" s="217"/>
      <c r="I16" s="217"/>
      <c r="J16" s="217"/>
      <c r="K16" s="217"/>
      <c r="L16" s="217"/>
      <c r="M16" s="217"/>
      <c r="N16" s="217"/>
      <c r="O16" s="195"/>
      <c r="P16" s="195"/>
      <c r="Q16" s="195"/>
      <c r="R16" s="195"/>
      <c r="S16" s="208"/>
      <c r="T16" s="208"/>
      <c r="U16" s="208"/>
      <c r="V16" s="208"/>
      <c r="W16" s="210" t="s">
        <v>472</v>
      </c>
      <c r="X16" s="212" t="s">
        <v>496</v>
      </c>
      <c r="Y16" s="213"/>
      <c r="Z16" s="198"/>
      <c r="AA16" s="199"/>
      <c r="AE16" s="196"/>
    </row>
    <row r="17" spans="1:31" ht="127.5" customHeight="1">
      <c r="A17" s="210" t="s">
        <v>497</v>
      </c>
      <c r="B17" s="190" t="str">
        <f ca="1">IFERROR(__xludf.DUMMYFUNCTION("GOOGLETRANSLATE('Workplan year2'!B17,""en"",""fr"")"),"Former sur les directives (ACOFS, RCOFS)) à travers des réunions et des ateliers, consulter, dialoguer avec les parties prenantes, appliquer les directives de l'OMM sur l'interface utilisateur et l'établissement des cadres, développer ou développer des mi"&amp;"ses à jour pour les interfaces utilisateur de l'agriculture, de la santé et de la DRR (AWGDRR) pour garantir la co-co- Conception, co-développement et prestation opérationnelle des services climatiques")</f>
        <v>Former sur les directives (ACOFS, RCOFS)) à travers des réunions et des ateliers, consulter, dialoguer avec les parties prenantes, appliquer les directives de l'OMM sur l'interface utilisateur et l'établissement des cadres, développer ou développer des mises à jour pour les interfaces utilisateur de l'agriculture, de la santé et de la DRR (AWGDRR) pour garantir la co-co- Conception, co-développement et prestation opérationnelle des services climatiques</v>
      </c>
      <c r="C17" s="208"/>
      <c r="D17" s="208"/>
      <c r="E17" s="209"/>
      <c r="F17" s="209"/>
      <c r="G17" s="209"/>
      <c r="H17" s="209"/>
      <c r="I17" s="217"/>
      <c r="J17" s="217"/>
      <c r="K17" s="217" t="s">
        <v>449</v>
      </c>
      <c r="L17" s="217"/>
      <c r="M17" s="217"/>
      <c r="N17" s="217"/>
      <c r="O17" s="208"/>
      <c r="P17" s="208"/>
      <c r="Q17" s="208"/>
      <c r="R17" s="208"/>
      <c r="S17" s="208"/>
      <c r="T17" s="208"/>
      <c r="U17" s="208"/>
      <c r="V17" s="208"/>
      <c r="W17" s="210" t="s">
        <v>472</v>
      </c>
      <c r="X17" s="211" t="s">
        <v>499</v>
      </c>
      <c r="Y17" s="202"/>
      <c r="Z17" s="198"/>
      <c r="AA17" s="199"/>
      <c r="AE17" s="196"/>
    </row>
    <row r="18" spans="1:31" ht="68.25" customHeight="1">
      <c r="A18" s="210" t="s">
        <v>500</v>
      </c>
      <c r="B18" s="190" t="str">
        <f ca="1">IFERROR(__xludf.DUMMYFUNCTION("GOOGLETRANSLATE('Workplan year2'!B18,""en"",""fr"")"),"Soutenir la préparation des plans d'exploitation pour les interfaces utilisateur au niveau continental, prendre en charge les centres régionaux et les NMHS pilotes pour établir des interfaces utilisateur et / ou des cadres")</f>
        <v>Soutenir la préparation des plans d'exploitation pour les interfaces utilisateur au niveau continental, prendre en charge les centres régionaux et les NMHS pilotes pour établir des interfaces utilisateur et / ou des cadres</v>
      </c>
      <c r="C18" s="208"/>
      <c r="D18" s="208"/>
      <c r="E18" s="208"/>
      <c r="F18" s="209"/>
      <c r="G18" s="209"/>
      <c r="H18" s="209"/>
      <c r="I18" s="209"/>
      <c r="J18" s="209"/>
      <c r="K18" s="209"/>
      <c r="L18" s="209"/>
      <c r="M18" s="209"/>
      <c r="N18" s="209"/>
      <c r="O18" s="208"/>
      <c r="P18" s="208"/>
      <c r="Q18" s="208"/>
      <c r="R18" s="208"/>
      <c r="S18" s="208"/>
      <c r="T18" s="208"/>
      <c r="U18" s="208"/>
      <c r="V18" s="208"/>
      <c r="W18" s="210" t="s">
        <v>472</v>
      </c>
      <c r="X18" s="194" t="s">
        <v>502</v>
      </c>
      <c r="Y18" s="202"/>
      <c r="Z18" s="198"/>
      <c r="AA18" s="199"/>
      <c r="AE18" s="196"/>
    </row>
    <row r="19" spans="1:31" ht="15.75" customHeight="1">
      <c r="A19" s="210" t="s">
        <v>503</v>
      </c>
      <c r="B19" s="210"/>
      <c r="C19" s="208"/>
      <c r="D19" s="208"/>
      <c r="E19" s="208"/>
      <c r="F19" s="208"/>
      <c r="G19" s="208"/>
      <c r="H19" s="208"/>
      <c r="I19" s="217"/>
      <c r="J19" s="217"/>
      <c r="K19" s="217"/>
      <c r="L19" s="217"/>
      <c r="M19" s="208"/>
      <c r="N19" s="208"/>
      <c r="O19" s="208"/>
      <c r="P19" s="208"/>
      <c r="Q19" s="208"/>
      <c r="R19" s="208"/>
      <c r="S19" s="208"/>
      <c r="T19" s="208"/>
      <c r="U19" s="208"/>
      <c r="V19" s="208"/>
      <c r="W19" s="210"/>
      <c r="X19" s="212"/>
      <c r="Y19" s="213"/>
      <c r="Z19" s="198"/>
      <c r="AA19" s="199"/>
      <c r="AE19" s="196"/>
    </row>
    <row r="20" spans="1:31" ht="51">
      <c r="A20" s="210" t="s">
        <v>504</v>
      </c>
      <c r="B20" s="191" t="str">
        <f ca="1">IFERROR(__xludf.DUMMYFUNCTION("GOOGLETRANSLATE('Workplan year2'!B20,""en"",""fr"")"),"Activité 1.2 Établir / renforcer / opérer et promouvoir les plateformes d'interface utilisateur pour la RDR, l'agriculture et la santé.")</f>
        <v>Activité 1.2 Établir / renforcer / opérer et promouvoir les plateformes d'interface utilisateur pour la RDR, l'agriculture et la santé.</v>
      </c>
      <c r="C20" s="208"/>
      <c r="D20" s="208"/>
      <c r="E20" s="208"/>
      <c r="F20" s="208"/>
      <c r="G20" s="208"/>
      <c r="H20" s="208"/>
      <c r="I20" s="208"/>
      <c r="J20" s="217"/>
      <c r="K20" s="217"/>
      <c r="L20" s="217"/>
      <c r="M20" s="217"/>
      <c r="N20" s="217"/>
      <c r="O20" s="208"/>
      <c r="P20" s="208"/>
      <c r="Q20" s="208"/>
      <c r="R20" s="208"/>
      <c r="S20" s="208"/>
      <c r="T20" s="208"/>
      <c r="U20" s="208"/>
      <c r="V20" s="208"/>
      <c r="W20" s="210" t="s">
        <v>472</v>
      </c>
      <c r="X20" s="211" t="s">
        <v>506</v>
      </c>
      <c r="Y20" s="202"/>
      <c r="Z20" s="198"/>
      <c r="AA20" s="199"/>
      <c r="AE20" s="196"/>
    </row>
    <row r="21" spans="1:31" ht="93.75" customHeight="1">
      <c r="A21" s="210" t="s">
        <v>507</v>
      </c>
      <c r="B21" s="190" t="str">
        <f ca="1">IFERROR(__xludf.DUMMYFUNCTION("GOOGLETRANSLATE('Workplan year2'!B21,""en"",""fr"")"),"Organisez des réunions ou des sessions, y compris sur AWGDRR et la plate-forme, les événements de l'agriculture et de la santé pour la définition et la spécification des services climatiques pour chaque secteur (agriculture, santé, DRR et eau), développer"&amp;", tester et valider les produits et services prototypes")</f>
        <v>Organisez des réunions ou des sessions, y compris sur AWGDRR et la plate-forme, les événements de l'agriculture et de la santé pour la définition et la spécification des services climatiques pour chaque secteur (agriculture, santé, DRR et eau), développer, tester et valider les produits et services prototypes</v>
      </c>
      <c r="C21" s="218"/>
      <c r="D21" s="219"/>
      <c r="E21" s="219"/>
      <c r="F21" s="219"/>
      <c r="G21" s="219"/>
      <c r="H21" s="208"/>
      <c r="I21" s="208"/>
      <c r="J21" s="217"/>
      <c r="K21" s="217"/>
      <c r="L21" s="208"/>
      <c r="M21" s="209"/>
      <c r="N21" s="209"/>
      <c r="O21" s="208"/>
      <c r="P21" s="208"/>
      <c r="Q21" s="208"/>
      <c r="R21" s="208"/>
      <c r="S21" s="208"/>
      <c r="T21" s="208"/>
      <c r="U21" s="208"/>
      <c r="V21" s="208"/>
      <c r="W21" s="210" t="s">
        <v>472</v>
      </c>
      <c r="X21" s="211" t="s">
        <v>509</v>
      </c>
      <c r="Y21" s="202"/>
      <c r="Z21" s="198"/>
      <c r="AA21" s="199"/>
      <c r="AE21" s="196"/>
    </row>
    <row r="22" spans="1:31" ht="15.75" customHeight="1">
      <c r="A22" s="210" t="s">
        <v>510</v>
      </c>
      <c r="B22" s="190" t="str">
        <f ca="1">IFERROR(__xludf.DUMMYFUNCTION("GOOGLETRANSLATE('Workplan year2'!B22,""en"",""fr"")"),"Organisez ou Co Organisez les RCOFS ou d'autres événements, y compris les séances humanitaires sur les interfaces utilisateur pour expérimenter les servistes prototypes et collecter des rétroactions pour la conception détaillée")</f>
        <v>Organisez ou Co Organisez les RCOFS ou d'autres événements, y compris les séances humanitaires sur les interfaces utilisateur pour expérimenter les servistes prototypes et collecter des rétroactions pour la conception détaillée</v>
      </c>
      <c r="C22" s="208"/>
      <c r="D22" s="208"/>
      <c r="E22" s="208"/>
      <c r="F22" s="208"/>
      <c r="G22" s="208"/>
      <c r="H22" s="208"/>
      <c r="I22" s="208"/>
      <c r="J22" s="217"/>
      <c r="K22" s="217"/>
      <c r="L22" s="208"/>
      <c r="M22" s="209"/>
      <c r="N22" s="209"/>
      <c r="O22" s="208"/>
      <c r="P22" s="208"/>
      <c r="Q22" s="208"/>
      <c r="R22" s="208"/>
      <c r="S22" s="208"/>
      <c r="T22" s="208"/>
      <c r="U22" s="208"/>
      <c r="V22" s="208"/>
      <c r="W22" s="210" t="s">
        <v>472</v>
      </c>
      <c r="X22" s="211" t="s">
        <v>512</v>
      </c>
      <c r="Y22" s="202"/>
      <c r="Z22" s="198"/>
      <c r="AA22" s="199"/>
      <c r="AE22" s="196"/>
    </row>
    <row r="23" spans="1:31" ht="15.75" customHeight="1">
      <c r="A23" s="210"/>
      <c r="B23" s="190"/>
      <c r="C23" s="208"/>
      <c r="D23" s="208"/>
      <c r="E23" s="208"/>
      <c r="F23" s="208"/>
      <c r="G23" s="208"/>
      <c r="H23" s="208"/>
      <c r="I23" s="208"/>
      <c r="J23" s="217"/>
      <c r="K23" s="217"/>
      <c r="L23" s="217"/>
      <c r="M23" s="217"/>
      <c r="N23" s="217"/>
      <c r="O23" s="217"/>
      <c r="P23" s="217"/>
      <c r="Q23" s="217"/>
      <c r="R23" s="217"/>
      <c r="S23" s="217"/>
      <c r="T23" s="217"/>
      <c r="U23" s="217"/>
      <c r="V23" s="217"/>
      <c r="W23" s="220"/>
      <c r="X23" s="221"/>
      <c r="Y23" s="222"/>
      <c r="Z23" s="198"/>
      <c r="AA23" s="199"/>
      <c r="AE23" s="196"/>
    </row>
    <row r="24" spans="1:31" ht="39.75" customHeight="1">
      <c r="A24" s="210" t="s">
        <v>513</v>
      </c>
      <c r="B24" s="191" t="str">
        <f ca="1">IFERROR(__xludf.DUMMYFUNCTION("GOOGLETRANSLATE('Workplan year2'!B24,""en"",""fr"")"),"Activité 1.3 Support établissement et opérationnalisation de l'interface utilisateur au niveau régional et national")</f>
        <v>Activité 1.3 Support établissement et opérationnalisation de l'interface utilisateur au niveau régional et national</v>
      </c>
      <c r="C24" s="208"/>
      <c r="D24" s="208"/>
      <c r="E24" s="208"/>
      <c r="F24" s="208"/>
      <c r="G24" s="208"/>
      <c r="H24" s="208"/>
      <c r="I24" s="208"/>
      <c r="J24" s="208"/>
      <c r="K24" s="217"/>
      <c r="L24" s="217"/>
      <c r="M24" s="217"/>
      <c r="N24" s="223"/>
      <c r="O24" s="208"/>
      <c r="P24" s="208"/>
      <c r="Q24" s="208"/>
      <c r="R24" s="208"/>
      <c r="S24" s="208"/>
      <c r="T24" s="208"/>
      <c r="U24" s="208"/>
      <c r="V24" s="208"/>
      <c r="W24" s="210" t="s">
        <v>472</v>
      </c>
      <c r="X24" s="211" t="s">
        <v>506</v>
      </c>
      <c r="Y24" s="202"/>
      <c r="Z24" s="198"/>
      <c r="AA24" s="199"/>
      <c r="AE24" s="196"/>
    </row>
    <row r="25" spans="1:31" ht="39.75" customHeight="1">
      <c r="A25" s="210"/>
      <c r="B25" s="190" t="str">
        <f ca="1">IFERROR(__xludf.DUMMYFUNCTION("GOOGLETRANSLATE('Workplan year2'!B25,""en"",""fr"")"),"Aider les RCC et les pays pilotes avec des directives et une formation à la création des interfaces")</f>
        <v>Aider les RCC et les pays pilotes avec des directives et une formation à la création des interfaces</v>
      </c>
      <c r="C25" s="208"/>
      <c r="D25" s="208"/>
      <c r="E25" s="208"/>
      <c r="F25" s="208"/>
      <c r="G25" s="208"/>
      <c r="H25" s="208"/>
      <c r="I25" s="208"/>
      <c r="J25" s="208"/>
      <c r="K25" s="217"/>
      <c r="L25" s="217"/>
      <c r="M25" s="217"/>
      <c r="N25" s="223"/>
      <c r="O25" s="208"/>
      <c r="P25" s="208"/>
      <c r="Q25" s="208"/>
      <c r="R25" s="208"/>
      <c r="S25" s="208"/>
      <c r="T25" s="208"/>
      <c r="U25" s="208"/>
      <c r="V25" s="208"/>
      <c r="W25" s="210" t="s">
        <v>472</v>
      </c>
      <c r="X25" s="211" t="s">
        <v>516</v>
      </c>
      <c r="Y25" s="202"/>
      <c r="Z25" s="198"/>
      <c r="AA25" s="199"/>
      <c r="AB25" s="196"/>
      <c r="AC25" s="196"/>
      <c r="AD25" s="196"/>
      <c r="AE25" s="196"/>
    </row>
    <row r="26" spans="1:31" ht="39.75" customHeight="1">
      <c r="A26" s="210"/>
      <c r="B26" s="190" t="str">
        <f ca="1">IFERROR(__xludf.DUMMYFUNCTION("GOOGLETRANSLATE('Workplan year2'!B26,""en"",""fr"")"),"Aider les RCC et les pays pilotes avec des méthodes, des outils et une formation pour le fonctionnement des interfaces")</f>
        <v>Aider les RCC et les pays pilotes avec des méthodes, des outils et une formation pour le fonctionnement des interfaces</v>
      </c>
      <c r="C26" s="208"/>
      <c r="D26" s="208"/>
      <c r="E26" s="224"/>
      <c r="F26" s="224"/>
      <c r="G26" s="224"/>
      <c r="H26" s="224"/>
      <c r="I26" s="224"/>
      <c r="J26" s="208"/>
      <c r="K26" s="217"/>
      <c r="L26" s="217"/>
      <c r="M26" s="217"/>
      <c r="N26" s="223"/>
      <c r="O26" s="208"/>
      <c r="P26" s="208"/>
      <c r="Q26" s="208"/>
      <c r="R26" s="208"/>
      <c r="S26" s="208"/>
      <c r="T26" s="208"/>
      <c r="U26" s="208"/>
      <c r="V26" s="208"/>
      <c r="W26" s="210" t="s">
        <v>518</v>
      </c>
      <c r="X26" s="211" t="s">
        <v>519</v>
      </c>
      <c r="Y26" s="202"/>
      <c r="Z26" s="198"/>
      <c r="AA26" s="199"/>
      <c r="AE26" s="196"/>
    </row>
    <row r="27" spans="1:31" ht="27.75" hidden="1" customHeight="1">
      <c r="A27" s="210"/>
      <c r="B27" s="191"/>
      <c r="C27" s="208"/>
      <c r="D27" s="208"/>
      <c r="E27" s="208"/>
      <c r="F27" s="208"/>
      <c r="G27" s="208"/>
      <c r="H27" s="208"/>
      <c r="I27" s="208"/>
      <c r="J27" s="208"/>
      <c r="K27" s="217"/>
      <c r="L27" s="217"/>
      <c r="M27" s="217"/>
      <c r="N27" s="223"/>
      <c r="O27" s="208"/>
      <c r="P27" s="208"/>
      <c r="Q27" s="208"/>
      <c r="R27" s="208"/>
      <c r="S27" s="208"/>
      <c r="T27" s="208"/>
      <c r="U27" s="208"/>
      <c r="V27" s="208"/>
      <c r="W27" s="210"/>
      <c r="X27" s="211"/>
      <c r="Y27" s="202"/>
      <c r="Z27" s="198"/>
      <c r="AA27" s="199"/>
      <c r="AE27" s="196"/>
    </row>
    <row r="28" spans="1:31" ht="48" customHeight="1">
      <c r="A28" s="210" t="s">
        <v>520</v>
      </c>
      <c r="B28" s="225" t="str">
        <f ca="1">IFERROR(__xludf.DUMMYFUNCTION("GOOGLETRANSLATE('Workplan year2'!B28,""en"",""fr"")"),"Activité 1.4 Évaluer l'impact du service et collecter les commentaires des utilisateurs")</f>
        <v>Activité 1.4 Évaluer l'impact du service et collecter les commentaires des utilisateurs</v>
      </c>
      <c r="C28" s="208"/>
      <c r="D28" s="208"/>
      <c r="E28" s="208"/>
      <c r="F28" s="208"/>
      <c r="G28" s="208"/>
      <c r="H28" s="208"/>
      <c r="I28" s="208"/>
      <c r="J28" s="208"/>
      <c r="K28" s="208"/>
      <c r="L28" s="208"/>
      <c r="M28" s="217"/>
      <c r="N28" s="217"/>
      <c r="O28" s="208"/>
      <c r="P28" s="208"/>
      <c r="Q28" s="208"/>
      <c r="R28" s="208"/>
      <c r="S28" s="208"/>
      <c r="T28" s="208"/>
      <c r="U28" s="208"/>
      <c r="V28" s="208"/>
      <c r="W28" s="210"/>
      <c r="X28" s="211"/>
      <c r="Y28" s="202"/>
      <c r="Z28" s="198"/>
      <c r="AA28" s="199"/>
      <c r="AE28" s="196"/>
    </row>
    <row r="29" spans="1:31" ht="22.5" customHeight="1">
      <c r="A29" s="210" t="s">
        <v>522</v>
      </c>
      <c r="B29" s="190" t="str">
        <f ca="1">IFERROR(__xludf.DUMMYFUNCTION("GOOGLETRANSLATE('Workplan year2'!B29,""en"",""fr"")"),"Développer des outils d'évaluation")</f>
        <v>Développer des outils d'évaluation</v>
      </c>
      <c r="C29" s="208"/>
      <c r="D29" s="208"/>
      <c r="E29" s="208"/>
      <c r="F29" s="208"/>
      <c r="G29" s="208"/>
      <c r="H29" s="208"/>
      <c r="I29" s="208"/>
      <c r="J29" s="208"/>
      <c r="K29" s="208"/>
      <c r="L29" s="226"/>
      <c r="M29" s="226"/>
      <c r="N29" s="209"/>
      <c r="O29" s="208"/>
      <c r="P29" s="208"/>
      <c r="Q29" s="208"/>
      <c r="R29" s="208"/>
      <c r="S29" s="208"/>
      <c r="T29" s="208"/>
      <c r="U29" s="208"/>
      <c r="V29" s="208"/>
      <c r="W29" s="210" t="s">
        <v>518</v>
      </c>
      <c r="X29" s="211" t="s">
        <v>524</v>
      </c>
      <c r="Y29" s="202"/>
      <c r="Z29" s="198"/>
      <c r="AA29" s="199"/>
      <c r="AE29" s="196"/>
    </row>
    <row r="30" spans="1:31" ht="44.25" customHeight="1">
      <c r="A30" s="210"/>
      <c r="B30" s="190" t="str">
        <f ca="1">IFERROR(__xludf.DUMMYFUNCTION("GOOGLETRANSLATE('Workplan year2'!B30,""en"",""fr"")"),"Organiser l'examen par les pairs du service")</f>
        <v>Organiser l'examen par les pairs du service</v>
      </c>
      <c r="C30" s="208"/>
      <c r="D30" s="208"/>
      <c r="E30" s="208"/>
      <c r="F30" s="208"/>
      <c r="G30" s="208"/>
      <c r="H30" s="208"/>
      <c r="I30" s="208"/>
      <c r="J30" s="208"/>
      <c r="K30" s="208"/>
      <c r="L30" s="208"/>
      <c r="M30" s="208"/>
      <c r="N30" s="209"/>
      <c r="O30" s="208"/>
      <c r="P30" s="208"/>
      <c r="Q30" s="208"/>
      <c r="R30" s="208"/>
      <c r="S30" s="208"/>
      <c r="T30" s="208"/>
      <c r="U30" s="208"/>
      <c r="V30" s="208"/>
      <c r="W30" s="210" t="s">
        <v>472</v>
      </c>
      <c r="X30" s="211" t="s">
        <v>526</v>
      </c>
      <c r="Y30" s="202"/>
      <c r="Z30" s="198"/>
      <c r="AA30" s="199"/>
      <c r="AE30" s="196"/>
    </row>
    <row r="31" spans="1:31" ht="15.75" customHeight="1">
      <c r="A31" s="210" t="s">
        <v>527</v>
      </c>
      <c r="B31" s="190" t="str">
        <f ca="1">IFERROR(__xludf.DUMMYFUNCTION("GOOGLETRANSLATE('Workplan year2'!B31,""en"",""fr"")"),"Utilisez l'outil pour la collecte de données, évaluez les données pour générer une surveillance et des évaluations des rapports d'impact sur les services")</f>
        <v>Utilisez l'outil pour la collecte de données, évaluez les données pour générer une surveillance et des évaluations des rapports d'impact sur les services</v>
      </c>
      <c r="C31" s="208"/>
      <c r="D31" s="208"/>
      <c r="E31" s="208"/>
      <c r="F31" s="208"/>
      <c r="G31" s="208"/>
      <c r="H31" s="208"/>
      <c r="I31" s="208"/>
      <c r="J31" s="208"/>
      <c r="K31" s="208"/>
      <c r="L31" s="208"/>
      <c r="M31" s="217"/>
      <c r="N31" s="209"/>
      <c r="O31" s="208"/>
      <c r="P31" s="208"/>
      <c r="Q31" s="208"/>
      <c r="R31" s="208"/>
      <c r="S31" s="208"/>
      <c r="T31" s="208"/>
      <c r="U31" s="208"/>
      <c r="V31" s="208"/>
      <c r="W31" s="210" t="s">
        <v>472</v>
      </c>
      <c r="X31" s="227" t="s">
        <v>529</v>
      </c>
      <c r="Y31" s="213"/>
      <c r="Z31" s="198"/>
      <c r="AA31" s="199"/>
      <c r="AE31" s="196"/>
    </row>
    <row r="32" spans="1:31" ht="15.75" customHeight="1">
      <c r="A32" s="210"/>
      <c r="B32" s="989" t="str">
        <f ca="1">IFERROR(__xludf.DUMMYFUNCTION("GOOGLETRANSLATE('Workplan year2'!B32,""en"",""fr"")"),"Sortie2 Provision de services climatiques de qualité et de système d'information climatique (CSI)")</f>
        <v>Sortie2 Provision de services climatiques de qualité et de système d'information climatique (CSI)</v>
      </c>
      <c r="C32" s="935"/>
      <c r="D32" s="935"/>
      <c r="E32" s="935"/>
      <c r="F32" s="935"/>
      <c r="G32" s="935"/>
      <c r="H32" s="935"/>
      <c r="I32" s="935"/>
      <c r="J32" s="935"/>
      <c r="K32" s="935"/>
      <c r="L32" s="935"/>
      <c r="M32" s="935"/>
      <c r="N32" s="935"/>
      <c r="O32" s="935"/>
      <c r="P32" s="935"/>
      <c r="Q32" s="935"/>
      <c r="R32" s="935"/>
      <c r="S32" s="935"/>
      <c r="T32" s="935"/>
      <c r="U32" s="935"/>
      <c r="V32" s="935"/>
      <c r="W32" s="935"/>
      <c r="X32" s="987"/>
      <c r="Y32" s="215">
        <f>424094.827</f>
        <v>424094.82699999999</v>
      </c>
      <c r="Z32" s="198"/>
      <c r="AA32" s="199"/>
      <c r="AB32" s="196">
        <f>424094.827</f>
        <v>424094.82699999999</v>
      </c>
      <c r="AC32" s="196"/>
      <c r="AD32" s="196"/>
      <c r="AE32" s="216">
        <f>Y32/Y116</f>
        <v>0.30434782621176359</v>
      </c>
    </row>
    <row r="33" spans="1:31" ht="15.75" customHeight="1">
      <c r="A33" s="210" t="s">
        <v>531</v>
      </c>
      <c r="B33" s="1008" t="str">
        <f ca="1">IFERROR(__xludf.DUMMYFUNCTION("GOOGLETRANSLATE('Workplan year2'!B32,""en"",""fr"")"),"Sortie2 Provision de services climatiques de qualité et de système d'information climatique (CSI)")</f>
        <v>Sortie2 Provision de services climatiques de qualité et de système d'information climatique (CSI)</v>
      </c>
      <c r="C33" s="935"/>
      <c r="D33" s="935"/>
      <c r="E33" s="935"/>
      <c r="F33" s="935"/>
      <c r="G33" s="935"/>
      <c r="H33" s="935"/>
      <c r="I33" s="935"/>
      <c r="J33" s="935"/>
      <c r="K33" s="935"/>
      <c r="L33" s="935"/>
      <c r="M33" s="935"/>
      <c r="N33" s="958"/>
      <c r="O33" s="228"/>
      <c r="P33" s="228"/>
      <c r="Q33" s="228"/>
      <c r="R33" s="228"/>
      <c r="S33" s="228"/>
      <c r="T33" s="228"/>
      <c r="U33" s="228"/>
      <c r="V33" s="228"/>
      <c r="W33" s="228"/>
      <c r="X33" s="212"/>
      <c r="Y33" s="213"/>
      <c r="Z33" s="198"/>
      <c r="AA33" s="199"/>
      <c r="AE33" s="196"/>
    </row>
    <row r="34" spans="1:31" ht="86.25" customHeight="1">
      <c r="A34" s="210" t="s">
        <v>533</v>
      </c>
      <c r="B34" s="190" t="str">
        <f ca="1">IFERROR(__xludf.DUMMYFUNCTION("GOOGLETRANSLATE('Workplan year2'!B34,""en"",""fr"")"),"Développer ou maintenir l'infrastructure du système d'information sur les services climatiques (collection, archivage, informatique, communication sur Internet) les achats durs et logiciels, assurer la liaison avec la sortie 3, fournir une assistance au d"&amp;"éveloppement de RCCS")</f>
        <v>Développer ou maintenir l'infrastructure du système d'information sur les services climatiques (collection, archivage, informatique, communication sur Internet) les achats durs et logiciels, assurer la liaison avec la sortie 3, fournir une assistance au développement de RCCS</v>
      </c>
      <c r="C34" s="209"/>
      <c r="D34" s="209"/>
      <c r="E34" s="209"/>
      <c r="F34" s="209"/>
      <c r="G34" s="209"/>
      <c r="H34" s="209"/>
      <c r="I34" s="209"/>
      <c r="J34" s="209"/>
      <c r="K34" s="209"/>
      <c r="L34" s="209"/>
      <c r="M34" s="209"/>
      <c r="N34" s="209"/>
      <c r="O34" s="208"/>
      <c r="P34" s="208"/>
      <c r="Q34" s="208"/>
      <c r="R34" s="208"/>
      <c r="S34" s="208"/>
      <c r="T34" s="208"/>
      <c r="U34" s="208"/>
      <c r="V34" s="208"/>
      <c r="W34" s="210" t="s">
        <v>472</v>
      </c>
      <c r="X34" s="211" t="s">
        <v>535</v>
      </c>
      <c r="Y34" s="202"/>
      <c r="Z34" s="198"/>
      <c r="AA34" s="199"/>
      <c r="AE34" s="196"/>
    </row>
    <row r="35" spans="1:31" ht="39.75" customHeight="1">
      <c r="A35" s="210" t="s">
        <v>536</v>
      </c>
      <c r="B35" s="190" t="str">
        <f ca="1">IFERROR(__xludf.DUMMYFUNCTION("GOOGLETRANSLATE('Workplan year2'!B35,""en"",""fr"")"),"Former sur les données, outils et produits d'entrée de génération de services climatiques) avec WMO, Eumetsat; JRC, Copernic et autres")</f>
        <v>Former sur les données, outils et produits d'entrée de génération de services climatiques) avec WMO, Eumetsat; JRC, Copernic et autres</v>
      </c>
      <c r="C35" s="208"/>
      <c r="D35" s="208"/>
      <c r="E35" s="208"/>
      <c r="F35" s="209"/>
      <c r="G35" s="209"/>
      <c r="H35" s="209"/>
      <c r="I35" s="209"/>
      <c r="J35" s="217"/>
      <c r="K35" s="217"/>
      <c r="L35" s="217"/>
      <c r="M35" s="217"/>
      <c r="N35" s="229"/>
      <c r="O35" s="208"/>
      <c r="P35" s="208"/>
      <c r="Q35" s="208"/>
      <c r="R35" s="208"/>
      <c r="S35" s="208"/>
      <c r="T35" s="208"/>
      <c r="U35" s="208"/>
      <c r="V35" s="208"/>
      <c r="W35" s="210" t="s">
        <v>472</v>
      </c>
      <c r="X35" s="230" t="s">
        <v>538</v>
      </c>
      <c r="Y35" s="202"/>
      <c r="Z35" s="198"/>
      <c r="AA35" s="199"/>
      <c r="AE35" s="196"/>
    </row>
    <row r="36" spans="1:31" ht="31.5" customHeight="1">
      <c r="A36" s="210" t="s">
        <v>539</v>
      </c>
      <c r="B36" s="1007" t="str">
        <f ca="1">IFERROR(__xludf.DUMMYFUNCTION("GOOGLETRANSLATE('Workplan year2'!B36,""en"",""fr"")"),"Activité 2.2 Implémenter et coordonner un système d'information sur les services climatiques (CSI) reliant les utilisateurs continentaux, régionaux, nationaux, locaux et finaux (petits exploitants);")</f>
        <v>Activité 2.2 Implémenter et coordonner un système d'information sur les services climatiques (CSI) reliant les utilisateurs continentaux, régionaux, nationaux, locaux et finaux (petits exploitants);</v>
      </c>
      <c r="C36" s="935"/>
      <c r="D36" s="935"/>
      <c r="E36" s="935"/>
      <c r="F36" s="935"/>
      <c r="G36" s="935"/>
      <c r="H36" s="935"/>
      <c r="I36" s="935"/>
      <c r="J36" s="935"/>
      <c r="K36" s="935"/>
      <c r="L36" s="935"/>
      <c r="M36" s="935"/>
      <c r="N36" s="958"/>
      <c r="O36" s="208"/>
      <c r="P36" s="208"/>
      <c r="Q36" s="208"/>
      <c r="R36" s="208"/>
      <c r="S36" s="208"/>
      <c r="T36" s="208"/>
      <c r="U36" s="208"/>
      <c r="V36" s="208"/>
      <c r="W36" s="210"/>
      <c r="X36" s="227"/>
      <c r="Y36" s="213"/>
      <c r="Z36" s="198"/>
      <c r="AA36" s="199"/>
      <c r="AE36" s="196"/>
    </row>
    <row r="37" spans="1:31" ht="30" customHeight="1">
      <c r="A37" s="210" t="s">
        <v>541</v>
      </c>
      <c r="B37" s="190" t="str">
        <f ca="1">IFERROR(__xludf.DUMMYFUNCTION("GOOGLETRANSLATE('Workplan year2'!B37,""en"",""fr"")"),"Développer et tester des produits pour Heallth, DRR et eau, agriculture")</f>
        <v>Développer et tester des produits pour Heallth, DRR et eau, agriculture</v>
      </c>
      <c r="C37" s="208"/>
      <c r="D37" s="208"/>
      <c r="E37" s="209"/>
      <c r="F37" s="209"/>
      <c r="G37" s="209"/>
      <c r="H37" s="209"/>
      <c r="I37" s="209"/>
      <c r="J37" s="209"/>
      <c r="K37" s="209"/>
      <c r="L37" s="208"/>
      <c r="M37" s="209"/>
      <c r="N37" s="209"/>
      <c r="O37" s="208"/>
      <c r="P37" s="208"/>
      <c r="Q37" s="208"/>
      <c r="R37" s="208"/>
      <c r="S37" s="208"/>
      <c r="T37" s="208"/>
      <c r="U37" s="208"/>
      <c r="V37" s="208"/>
      <c r="W37" s="210" t="s">
        <v>472</v>
      </c>
      <c r="X37" s="211" t="s">
        <v>543</v>
      </c>
      <c r="Y37" s="202"/>
      <c r="Z37" s="198"/>
      <c r="AA37" s="199"/>
      <c r="AE37" s="196"/>
    </row>
    <row r="38" spans="1:31" ht="33" customHeight="1">
      <c r="A38" s="210" t="s">
        <v>544</v>
      </c>
      <c r="B38" s="190" t="str">
        <f ca="1">IFERROR(__xludf.DUMMYFUNCTION("GOOGLETRANSLATE('Workplan year2'!B38,""en"",""fr"")"),"Istructure Products dans les notes techniques, les bulletins, les déclarations et les mémoires")</f>
        <v>Istructure Products dans les notes techniques, les bulletins, les déclarations et les mémoires</v>
      </c>
      <c r="C38" s="208"/>
      <c r="D38" s="208"/>
      <c r="E38" s="209"/>
      <c r="F38" s="209"/>
      <c r="G38" s="209"/>
      <c r="H38" s="209"/>
      <c r="I38" s="209"/>
      <c r="J38" s="209"/>
      <c r="K38" s="217"/>
      <c r="L38" s="208"/>
      <c r="M38" s="217"/>
      <c r="N38" s="217"/>
      <c r="O38" s="208"/>
      <c r="P38" s="208"/>
      <c r="Q38" s="208"/>
      <c r="R38" s="208"/>
      <c r="S38" s="208"/>
      <c r="T38" s="208"/>
      <c r="U38" s="208"/>
      <c r="V38" s="208"/>
      <c r="W38" s="210"/>
      <c r="X38" s="211"/>
      <c r="Y38" s="202"/>
      <c r="Z38" s="198"/>
      <c r="AA38" s="199"/>
      <c r="AE38" s="196"/>
    </row>
    <row r="39" spans="1:31" ht="39.75" customHeight="1">
      <c r="A39" s="210" t="s">
        <v>546</v>
      </c>
      <c r="B39" s="190" t="str">
        <f ca="1">IFERROR(__xludf.DUMMYFUNCTION("GOOGLETRANSLATE('Workplan year2'!B39,""en"",""fr"")"),"Aider les régions et les pays à préparer des notes techniques, des bulletins et des déclarations")</f>
        <v>Aider les régions et les pays à préparer des notes techniques, des bulletins et des déclarations</v>
      </c>
      <c r="C39" s="208"/>
      <c r="D39" s="209"/>
      <c r="E39" s="209"/>
      <c r="F39" s="209"/>
      <c r="G39" s="209"/>
      <c r="H39" s="209"/>
      <c r="I39" s="208"/>
      <c r="J39" s="217"/>
      <c r="K39" s="209"/>
      <c r="L39" s="209"/>
      <c r="M39" s="209"/>
      <c r="N39" s="209"/>
      <c r="O39" s="208"/>
      <c r="P39" s="208"/>
      <c r="Q39" s="208"/>
      <c r="R39" s="208"/>
      <c r="S39" s="208"/>
      <c r="T39" s="208"/>
      <c r="U39" s="208"/>
      <c r="V39" s="208"/>
      <c r="W39" s="210" t="s">
        <v>472</v>
      </c>
      <c r="X39" s="211"/>
      <c r="Y39" s="202"/>
      <c r="Z39" s="198"/>
      <c r="AA39" s="199"/>
      <c r="AE39" s="196"/>
    </row>
    <row r="40" spans="1:31" ht="54.75" customHeight="1">
      <c r="A40" s="210" t="s">
        <v>548</v>
      </c>
      <c r="B40" s="190" t="str">
        <f ca="1">IFERROR(__xludf.DUMMYFUNCTION("GOOGLETRANSLATE('Workplan year2'!B40,""en"",""fr"")"),"Livrer des produits, des notes techniques, des rapports, des bulletins et des déclarations de perspectives climatiques (continental, interegional et régional)")</f>
        <v>Livrer des produits, des notes techniques, des rapports, des bulletins et des déclarations de perspectives climatiques (continental, interegional et régional)</v>
      </c>
      <c r="C40" s="209"/>
      <c r="D40" s="209"/>
      <c r="E40" s="209"/>
      <c r="F40" s="209"/>
      <c r="G40" s="209"/>
      <c r="H40" s="209"/>
      <c r="I40" s="209"/>
      <c r="J40" s="209"/>
      <c r="K40" s="209"/>
      <c r="L40" s="209"/>
      <c r="M40" s="209"/>
      <c r="N40" s="209"/>
      <c r="O40" s="208"/>
      <c r="P40" s="208"/>
      <c r="Q40" s="208"/>
      <c r="R40" s="208"/>
      <c r="S40" s="208"/>
      <c r="T40" s="208"/>
      <c r="U40" s="208"/>
      <c r="V40" s="208"/>
      <c r="W40" s="210" t="s">
        <v>472</v>
      </c>
      <c r="X40" s="211" t="s">
        <v>550</v>
      </c>
      <c r="Y40" s="202"/>
      <c r="Z40" s="198"/>
      <c r="AA40" s="199"/>
      <c r="AE40" s="196"/>
    </row>
    <row r="41" spans="1:31" ht="92.25" customHeight="1">
      <c r="A41" s="210" t="s">
        <v>551</v>
      </c>
      <c r="B41" s="190" t="str">
        <f ca="1">IFERROR(__xludf.DUMMYFUNCTION("GOOGLETRANSLATE('Workplan year2'!B41,""en"",""fr"")"),"Préparer les produits et coordonner la production de la note technique, un rapport comprenant un résumé pour les décideurs politiques sur l'état du climat pour l'Afrique 2021 pour l'état mondial du climat, les flics et autres événements, IDEM pour l'état "&amp;"provisoire du climat pour 2022")</f>
        <v>Préparer les produits et coordonner la production de la note technique, un rapport comprenant un résumé pour les décideurs politiques sur l'état du climat pour l'Afrique 2021 pour l'état mondial du climat, les flics et autres événements, IDEM pour l'état provisoire du climat pour 2022</v>
      </c>
      <c r="C41" s="208"/>
      <c r="D41" s="209"/>
      <c r="E41" s="209"/>
      <c r="F41" s="209"/>
      <c r="G41" s="209"/>
      <c r="H41" s="209"/>
      <c r="I41" s="209"/>
      <c r="J41" s="209"/>
      <c r="K41" s="209"/>
      <c r="L41" s="208"/>
      <c r="M41" s="217"/>
      <c r="N41" s="217"/>
      <c r="O41" s="208"/>
      <c r="P41" s="208"/>
      <c r="Q41" s="208"/>
      <c r="R41" s="208"/>
      <c r="S41" s="208"/>
      <c r="T41" s="208"/>
      <c r="U41" s="208"/>
      <c r="V41" s="208"/>
      <c r="W41" s="210" t="s">
        <v>472</v>
      </c>
      <c r="X41" s="211" t="s">
        <v>553</v>
      </c>
      <c r="Y41" s="202"/>
      <c r="Z41" s="198"/>
      <c r="AA41" s="199"/>
      <c r="AE41" s="196"/>
    </row>
    <row r="42" spans="1:31" ht="78" customHeight="1">
      <c r="A42" s="210" t="s">
        <v>554</v>
      </c>
      <c r="B42" s="190" t="str">
        <f ca="1">IFERROR(__xludf.DUMMYFUNCTION("GOOGLETRANSLATE('Workplan year2'!B42,""en"",""fr"")"),"Aider les centres régionaux (E, G CAPC) sur la planification et la mise en œuvre de la phase de démonstration pour la certification (avec formation et échanges, ateliers conjoints, s'entraîner au travail, détachement, bourses)")</f>
        <v>Aider les centres régionaux (E, G CAPC) sur la planification et la mise en œuvre de la phase de démonstration pour la certification (avec formation et échanges, ateliers conjoints, s'entraîner au travail, détachement, bourses)</v>
      </c>
      <c r="C42" s="209"/>
      <c r="D42" s="209"/>
      <c r="E42" s="209"/>
      <c r="F42" s="209"/>
      <c r="G42" s="209"/>
      <c r="H42" s="209"/>
      <c r="I42" s="209"/>
      <c r="J42" s="209"/>
      <c r="K42" s="209"/>
      <c r="L42" s="209"/>
      <c r="M42" s="209"/>
      <c r="N42" s="209"/>
      <c r="O42" s="208"/>
      <c r="P42" s="208"/>
      <c r="Q42" s="208"/>
      <c r="R42" s="208"/>
      <c r="S42" s="208"/>
      <c r="T42" s="208"/>
      <c r="U42" s="208"/>
      <c r="V42" s="208"/>
      <c r="W42" s="210" t="s">
        <v>472</v>
      </c>
      <c r="X42" s="211" t="s">
        <v>556</v>
      </c>
      <c r="Y42" s="202"/>
      <c r="Z42" s="198"/>
      <c r="AA42" s="199"/>
      <c r="AE42" s="196"/>
    </row>
    <row r="43" spans="1:31" ht="87.75" customHeight="1">
      <c r="A43" s="210" t="s">
        <v>557</v>
      </c>
      <c r="B43" s="190" t="str">
        <f ca="1">IFERROR(__xludf.DUMMYFUNCTION("GOOGLETRANSLATE('Workplan year2'!B43,""en"",""fr"")"),"Préparer le rapport de situation opérationnel RCC (utiliser les fonctions et produits définis par le RCC), y compris le support pour développer des RCC pour la phase de démonstration, administrer le questionnaire de poursuite RCC en interne pour préparer "&amp;"le rapport")</f>
        <v>Préparer le rapport de situation opérationnel RCC (utiliser les fonctions et produits définis par le RCC), y compris le support pour développer des RCC pour la phase de démonstration, administrer le questionnaire de poursuite RCC en interne pour préparer le rapport</v>
      </c>
      <c r="C43" s="208"/>
      <c r="D43" s="209"/>
      <c r="E43" s="209"/>
      <c r="F43" s="209"/>
      <c r="G43" s="209"/>
      <c r="H43" s="209"/>
      <c r="I43" s="209"/>
      <c r="J43" s="209"/>
      <c r="K43" s="209"/>
      <c r="L43" s="209"/>
      <c r="M43" s="209"/>
      <c r="N43" s="209"/>
      <c r="O43" s="208"/>
      <c r="P43" s="208"/>
      <c r="Q43" s="208"/>
      <c r="R43" s="208"/>
      <c r="S43" s="208"/>
      <c r="T43" s="208"/>
      <c r="U43" s="208"/>
      <c r="V43" s="208"/>
      <c r="W43" s="210" t="s">
        <v>472</v>
      </c>
      <c r="X43" s="211" t="s">
        <v>556</v>
      </c>
      <c r="Y43" s="202"/>
      <c r="Z43" s="198"/>
      <c r="AA43" s="199"/>
      <c r="AE43" s="196"/>
    </row>
    <row r="44" spans="1:31" ht="24" customHeight="1">
      <c r="A44" s="210" t="s">
        <v>559</v>
      </c>
      <c r="B44" s="1009" t="str">
        <f ca="1">IFERROR(__xludf.DUMMYFUNCTION("GOOGLETRANSLATE('Workplan year2'!B44,""en"",""fr"")"),"Activité 2.3 Adapter la station E vers une station climatique et se former à l'usage de la station.")</f>
        <v>Activité 2.3 Adapter la station E vers une station climatique et se former à l'usage de la station.</v>
      </c>
      <c r="C44" s="935"/>
      <c r="D44" s="935"/>
      <c r="E44" s="935"/>
      <c r="F44" s="935"/>
      <c r="G44" s="935"/>
      <c r="H44" s="935"/>
      <c r="I44" s="935"/>
      <c r="J44" s="935"/>
      <c r="K44" s="935"/>
      <c r="L44" s="935"/>
      <c r="M44" s="935"/>
      <c r="N44" s="958"/>
      <c r="O44" s="208"/>
      <c r="P44" s="208"/>
      <c r="Q44" s="208"/>
      <c r="R44" s="208"/>
      <c r="S44" s="208"/>
      <c r="T44" s="208"/>
      <c r="U44" s="208"/>
      <c r="V44" s="208"/>
      <c r="W44" s="210"/>
      <c r="X44" s="211"/>
      <c r="Y44" s="202"/>
      <c r="Z44" s="198"/>
      <c r="AA44" s="199"/>
      <c r="AE44" s="196"/>
    </row>
    <row r="45" spans="1:31" ht="42" customHeight="1">
      <c r="A45" s="210" t="s">
        <v>561</v>
      </c>
      <c r="B45" s="190" t="str">
        <f ca="1">IFERROR(__xludf.DUMMYFUNCTION("GOOGLETRANSLATE('Workplan year2'!B45,""en"",""fr"")"),"Conception de conception, prototype, Station de services climatiques expérimentales")</f>
        <v>Conception de conception, prototype, Station de services climatiques expérimentales</v>
      </c>
      <c r="C45" s="209"/>
      <c r="D45" s="209"/>
      <c r="E45" s="209"/>
      <c r="F45" s="209"/>
      <c r="G45" s="209"/>
      <c r="H45" s="209"/>
      <c r="I45" s="209"/>
      <c r="J45" s="209"/>
      <c r="K45" s="209"/>
      <c r="L45" s="209"/>
      <c r="M45" s="209"/>
      <c r="N45" s="209"/>
      <c r="O45" s="208"/>
      <c r="P45" s="208"/>
      <c r="Q45" s="208"/>
      <c r="R45" s="208"/>
      <c r="S45" s="208"/>
      <c r="T45" s="208"/>
      <c r="U45" s="208"/>
      <c r="V45" s="208"/>
      <c r="W45" s="210" t="s">
        <v>472</v>
      </c>
      <c r="X45" s="211" t="s">
        <v>563</v>
      </c>
      <c r="Y45" s="202"/>
      <c r="Z45" s="198"/>
      <c r="AA45" s="199"/>
      <c r="AE45" s="196"/>
    </row>
    <row r="46" spans="1:31" ht="52.5" customHeight="1">
      <c r="A46" s="210" t="s">
        <v>564</v>
      </c>
      <c r="B46" s="190" t="str">
        <f ca="1">IFERROR(__xludf.DUMMYFUNCTION("GOOGLETRANSLATE('Workplan year2'!B46,""en"",""fr"")"),"Soutenir la préparation des manuels opérationnels et administrateurs de la station")</f>
        <v>Soutenir la préparation des manuels opérationnels et administrateurs de la station</v>
      </c>
      <c r="C46" s="208"/>
      <c r="D46" s="209"/>
      <c r="E46" s="209"/>
      <c r="F46" s="209"/>
      <c r="G46" s="209"/>
      <c r="H46" s="209"/>
      <c r="I46" s="209"/>
      <c r="J46" s="209"/>
      <c r="K46" s="229"/>
      <c r="L46" s="229"/>
      <c r="M46" s="229"/>
      <c r="N46" s="208"/>
      <c r="O46" s="208"/>
      <c r="P46" s="208"/>
      <c r="Q46" s="208"/>
      <c r="R46" s="208"/>
      <c r="S46" s="208"/>
      <c r="T46" s="208"/>
      <c r="U46" s="208"/>
      <c r="V46" s="208"/>
      <c r="W46" s="210" t="s">
        <v>566</v>
      </c>
      <c r="X46" s="211" t="s">
        <v>567</v>
      </c>
      <c r="Y46" s="202"/>
      <c r="Z46" s="198"/>
      <c r="AA46" s="199"/>
      <c r="AE46" s="196"/>
    </row>
    <row r="47" spans="1:31" ht="49.5" customHeight="1">
      <c r="A47" s="210" t="s">
        <v>568</v>
      </c>
      <c r="B47" s="190" t="str">
        <f ca="1">IFERROR(__xludf.DUMMYFUNCTION("GOOGLETRANSLATE('Workplan year2'!B47,""en"",""fr"")"),"Assister à la JRC, Eumetsat, Copernic et d'autres séances de formation des acteurs")</f>
        <v>Assister à la JRC, Eumetsat, Copernic et d'autres séances de formation des acteurs</v>
      </c>
      <c r="C47" s="209"/>
      <c r="D47" s="209"/>
      <c r="E47" s="209"/>
      <c r="F47" s="209"/>
      <c r="G47" s="209"/>
      <c r="H47" s="209"/>
      <c r="I47" s="209"/>
      <c r="J47" s="209"/>
      <c r="K47" s="209"/>
      <c r="L47" s="209"/>
      <c r="M47" s="209"/>
      <c r="N47" s="209"/>
      <c r="O47" s="208"/>
      <c r="P47" s="208"/>
      <c r="Q47" s="208"/>
      <c r="R47" s="208"/>
      <c r="S47" s="208"/>
      <c r="T47" s="208"/>
      <c r="U47" s="208"/>
      <c r="V47" s="208"/>
      <c r="W47" s="210" t="s">
        <v>570</v>
      </c>
      <c r="X47" s="211" t="s">
        <v>472</v>
      </c>
      <c r="Y47" s="202"/>
      <c r="Z47" s="198"/>
      <c r="AA47" s="199"/>
      <c r="AE47" s="196"/>
    </row>
    <row r="48" spans="1:31" ht="24.75" customHeight="1">
      <c r="A48" s="210" t="s">
        <v>571</v>
      </c>
      <c r="B48" s="996" t="str">
        <f ca="1">IFERROR(__xludf.DUMMYFUNCTION("GOOGLETRANSLATE('Workplan year2'!B48,""en"",""fr"")"),"Activité 2.4 Établir et améliorer les systèmes de gestion des données climatiques (CDM).")</f>
        <v>Activité 2.4 Établir et améliorer les systèmes de gestion des données climatiques (CDM).</v>
      </c>
      <c r="C48" s="935"/>
      <c r="D48" s="935"/>
      <c r="E48" s="935"/>
      <c r="F48" s="935"/>
      <c r="G48" s="935"/>
      <c r="H48" s="935"/>
      <c r="I48" s="935"/>
      <c r="J48" s="935"/>
      <c r="K48" s="935"/>
      <c r="L48" s="935"/>
      <c r="M48" s="935"/>
      <c r="N48" s="958"/>
      <c r="O48" s="208"/>
      <c r="P48" s="208"/>
      <c r="Q48" s="208"/>
      <c r="R48" s="208"/>
      <c r="S48" s="208"/>
      <c r="T48" s="208"/>
      <c r="U48" s="208"/>
      <c r="V48" s="208"/>
      <c r="W48" s="210" t="s">
        <v>573</v>
      </c>
      <c r="X48" s="211" t="s">
        <v>472</v>
      </c>
      <c r="Y48" s="202"/>
      <c r="Z48" s="198"/>
      <c r="AA48" s="199"/>
      <c r="AE48" s="196"/>
    </row>
    <row r="49" spans="1:31" ht="46.5" customHeight="1">
      <c r="A49" s="210" t="s">
        <v>574</v>
      </c>
      <c r="B49" s="190" t="str">
        <f ca="1">IFERROR(__xludf.DUMMYFUNCTION("GOOGLETRANSLATE('Workplan year2'!B49,""en"",""fr"")"),"Soutien de la réalisation d'un inventaire des données africaines historiques au NMHSS, à d'autres RCC et à des programmes WMO")</f>
        <v>Soutien de la réalisation d'un inventaire des données africaines historiques au NMHSS, à d'autres RCC et à des programmes WMO</v>
      </c>
      <c r="C49" s="208"/>
      <c r="D49" s="209"/>
      <c r="E49" s="209"/>
      <c r="F49" s="209"/>
      <c r="G49" s="209"/>
      <c r="H49" s="209"/>
      <c r="I49" s="229"/>
      <c r="J49" s="229"/>
      <c r="K49" s="208"/>
      <c r="L49" s="208"/>
      <c r="M49" s="208"/>
      <c r="N49" s="208"/>
      <c r="O49" s="208"/>
      <c r="P49" s="208"/>
      <c r="Q49" s="208"/>
      <c r="R49" s="208"/>
      <c r="S49" s="208"/>
      <c r="T49" s="208"/>
      <c r="U49" s="208"/>
      <c r="V49" s="208"/>
      <c r="W49" s="210" t="s">
        <v>472</v>
      </c>
      <c r="X49" s="194" t="s">
        <v>576</v>
      </c>
      <c r="Y49" s="202"/>
      <c r="Z49" s="198"/>
      <c r="AA49" s="199"/>
      <c r="AE49" s="196"/>
    </row>
    <row r="50" spans="1:31" ht="48" customHeight="1">
      <c r="A50" s="210" t="s">
        <v>577</v>
      </c>
      <c r="B50" s="190" t="str">
        <f ca="1">IFERROR(__xludf.DUMMYFUNCTION("GOOGLETRANSLATE('Workplan year2'!B50,""en"",""fr"")"),"Examiner, mettre à niveau, tester, adapter les applications de base de données climatiques pour l'Afrique avec GitHub sur Climsoft")</f>
        <v>Examiner, mettre à niveau, tester, adapter les applications de base de données climatiques pour l'Afrique avec GitHub sur Climsoft</v>
      </c>
      <c r="C50" s="208"/>
      <c r="D50" s="232"/>
      <c r="E50" s="209"/>
      <c r="F50" s="209"/>
      <c r="G50" s="209"/>
      <c r="H50" s="209"/>
      <c r="I50" s="209"/>
      <c r="J50" s="229"/>
      <c r="K50" s="229"/>
      <c r="L50" s="229"/>
      <c r="M50" s="208"/>
      <c r="N50" s="208"/>
      <c r="O50" s="208"/>
      <c r="P50" s="208"/>
      <c r="Q50" s="208"/>
      <c r="R50" s="208"/>
      <c r="S50" s="208"/>
      <c r="T50" s="208"/>
      <c r="U50" s="208"/>
      <c r="V50" s="208"/>
      <c r="W50" s="210" t="s">
        <v>472</v>
      </c>
      <c r="X50" s="211" t="s">
        <v>579</v>
      </c>
      <c r="Y50" s="202"/>
      <c r="Z50" s="198"/>
      <c r="AA50" s="199"/>
      <c r="AE50" s="196"/>
    </row>
    <row r="51" spans="1:31" ht="49.5" customHeight="1">
      <c r="A51" s="210" t="s">
        <v>580</v>
      </c>
      <c r="B51" s="190" t="str">
        <f ca="1">IFERROR(__xludf.DUMMYFUNCTION("GOOGLETRANSLATE('Workplan year2'!B51,""en"",""fr"")"),"Soutenez les centres régionaux et les NMH pilotes pour établir et exploiter une application de base de données climatique (par exemple Climsoft)")</f>
        <v>Soutenez les centres régionaux et les NMH pilotes pour établir et exploiter une application de base de données climatique (par exemple Climsoft)</v>
      </c>
      <c r="C51" s="208"/>
      <c r="D51" s="208"/>
      <c r="E51" s="209"/>
      <c r="F51" s="209"/>
      <c r="G51" s="209"/>
      <c r="H51" s="209"/>
      <c r="I51" s="209"/>
      <c r="J51" s="209"/>
      <c r="K51" s="209"/>
      <c r="L51" s="209"/>
      <c r="M51" s="209"/>
      <c r="N51" s="229"/>
      <c r="O51" s="208"/>
      <c r="P51" s="208"/>
      <c r="Q51" s="208"/>
      <c r="R51" s="208"/>
      <c r="S51" s="208"/>
      <c r="T51" s="208"/>
      <c r="U51" s="208"/>
      <c r="V51" s="208"/>
      <c r="W51" s="210" t="s">
        <v>472</v>
      </c>
      <c r="X51" s="211" t="s">
        <v>582</v>
      </c>
      <c r="Y51" s="202"/>
      <c r="Z51" s="198"/>
      <c r="AA51" s="199"/>
      <c r="AE51" s="196"/>
    </row>
    <row r="52" spans="1:31" ht="27.75" hidden="1" customHeight="1">
      <c r="A52" s="220"/>
      <c r="B52" s="190" t="str">
        <f ca="1">IFERROR(__xludf.DUMMYFUNCTION("GOOGLETRANSLATE('Workplan year2'!B52,""en"",""fr"")"),"#VALUE!")</f>
        <v>#VALUE!</v>
      </c>
      <c r="C52" s="217"/>
      <c r="D52" s="217"/>
      <c r="E52" s="217"/>
      <c r="F52" s="217"/>
      <c r="G52" s="217"/>
      <c r="H52" s="217"/>
      <c r="I52" s="217"/>
      <c r="J52" s="217"/>
      <c r="K52" s="217"/>
      <c r="L52" s="217"/>
      <c r="M52" s="217"/>
      <c r="N52" s="217"/>
      <c r="O52" s="217"/>
      <c r="P52" s="217"/>
      <c r="Q52" s="217"/>
      <c r="R52" s="217"/>
      <c r="S52" s="217"/>
      <c r="T52" s="217"/>
      <c r="U52" s="217"/>
      <c r="V52" s="217"/>
      <c r="W52" s="220"/>
      <c r="X52" s="234"/>
      <c r="Y52" s="235"/>
      <c r="Z52" s="236"/>
      <c r="AA52" s="237"/>
      <c r="AB52" s="238"/>
      <c r="AC52" s="238"/>
      <c r="AD52" s="238"/>
      <c r="AE52" s="238"/>
    </row>
    <row r="53" spans="1:31" ht="27" customHeight="1">
      <c r="A53" s="210" t="s">
        <v>583</v>
      </c>
      <c r="B53" s="996" t="str">
        <f ca="1">IFERROR(__xludf.DUMMYFUNCTION("GOOGLETRANSLATE('Workplan year2'!B53,""en"",""fr"")"),"Activité 2.5 Support pour définir de nouveaux produits pour les services climatiques.")</f>
        <v>Activité 2.5 Support pour définir de nouveaux produits pour les services climatiques.</v>
      </c>
      <c r="C53" s="935"/>
      <c r="D53" s="935"/>
      <c r="E53" s="935"/>
      <c r="F53" s="935"/>
      <c r="G53" s="935"/>
      <c r="H53" s="935"/>
      <c r="I53" s="935"/>
      <c r="J53" s="935"/>
      <c r="K53" s="935"/>
      <c r="L53" s="935"/>
      <c r="M53" s="935"/>
      <c r="N53" s="958"/>
      <c r="O53" s="208"/>
      <c r="P53" s="208"/>
      <c r="Q53" s="208"/>
      <c r="R53" s="208"/>
      <c r="S53" s="208"/>
      <c r="T53" s="208"/>
      <c r="U53" s="208"/>
      <c r="V53" s="208"/>
      <c r="W53" s="210" t="s">
        <v>472</v>
      </c>
      <c r="X53" s="211"/>
      <c r="Y53" s="202"/>
      <c r="Z53" s="198"/>
      <c r="AA53" s="199"/>
      <c r="AE53" s="196"/>
    </row>
    <row r="54" spans="1:31" ht="52.5" customHeight="1">
      <c r="A54" s="210" t="s">
        <v>585</v>
      </c>
      <c r="B54" s="190" t="str">
        <f ca="1">IFERROR(__xludf.DUMMYFUNCTION("GOOGLETRANSLATE('Workplan year2'!B54,""en"",""fr"")"),"Examiner les producteurs et les services pour mieux répondre aux besoins du RRR et de l'eau, de la santé et de l'agriculture")</f>
        <v>Examiner les producteurs et les services pour mieux répondre aux besoins du RRR et de l'eau, de la santé et de l'agriculture</v>
      </c>
      <c r="C54" s="208"/>
      <c r="D54" s="209"/>
      <c r="E54" s="209"/>
      <c r="F54" s="209"/>
      <c r="G54" s="209"/>
      <c r="H54" s="209"/>
      <c r="I54" s="209"/>
      <c r="J54" s="209"/>
      <c r="K54" s="209"/>
      <c r="L54" s="209"/>
      <c r="M54" s="208"/>
      <c r="N54" s="209"/>
      <c r="O54" s="208"/>
      <c r="P54" s="208"/>
      <c r="Q54" s="208"/>
      <c r="R54" s="208"/>
      <c r="S54" s="208"/>
      <c r="T54" s="208"/>
      <c r="U54" s="208"/>
      <c r="V54" s="208"/>
      <c r="W54" s="210" t="s">
        <v>472</v>
      </c>
      <c r="X54" s="211" t="s">
        <v>587</v>
      </c>
      <c r="Y54" s="202"/>
      <c r="Z54" s="198"/>
      <c r="AA54" s="199"/>
      <c r="AE54" s="196"/>
    </row>
    <row r="55" spans="1:31" ht="44.25" customHeight="1">
      <c r="A55" s="210" t="s">
        <v>588</v>
      </c>
      <c r="B55" s="190" t="str">
        <f ca="1">IFERROR(__xludf.DUMMYFUNCTION("GOOGLETRANSLATE('Workplan year2'!B55,""en"",""fr"")"),"Assurer la liaison avec JRC et Eumetsat pour générer des produits et services personnalisés avec une station climatique")</f>
        <v>Assurer la liaison avec JRC et Eumetsat pour générer des produits et services personnalisés avec une station climatique</v>
      </c>
      <c r="C55" s="208"/>
      <c r="D55" s="209"/>
      <c r="E55" s="209"/>
      <c r="F55" s="209"/>
      <c r="G55" s="209"/>
      <c r="H55" s="209"/>
      <c r="I55" s="209"/>
      <c r="J55" s="209"/>
      <c r="K55" s="209"/>
      <c r="L55" s="209"/>
      <c r="M55" s="209"/>
      <c r="N55" s="208"/>
      <c r="O55" s="208"/>
      <c r="P55" s="208"/>
      <c r="Q55" s="208"/>
      <c r="R55" s="208"/>
      <c r="S55" s="208"/>
      <c r="T55" s="208"/>
      <c r="U55" s="208"/>
      <c r="V55" s="208"/>
      <c r="W55" s="210" t="s">
        <v>472</v>
      </c>
      <c r="X55" s="211" t="s">
        <v>590</v>
      </c>
      <c r="Y55" s="202"/>
      <c r="Z55" s="198"/>
      <c r="AA55" s="199"/>
      <c r="AE55" s="196"/>
    </row>
    <row r="56" spans="1:31" ht="76.5" customHeight="1">
      <c r="A56" s="210" t="s">
        <v>591</v>
      </c>
      <c r="B56" s="190" t="str">
        <f ca="1">IFERROR(__xludf.DUMMYFUNCTION("GOOGLETRANSLATE('Workplan year2'!B56,""en"",""fr"")"),"Guide des experts d'ACMAD, d'autres RCCS et Pilot NMHSS sur les méthodes, les outils, les produits et les services de génération et de communication Ateliers et événements de groupe de discussion sur le creux")</f>
        <v>Guide des experts d'ACMAD, d'autres RCCS et Pilot NMHSS sur les méthodes, les outils, les produits et les services de génération et de communication Ateliers et événements de groupe de discussion sur le creux</v>
      </c>
      <c r="C56" s="209"/>
      <c r="D56" s="209"/>
      <c r="E56" s="209"/>
      <c r="F56" s="209"/>
      <c r="G56" s="209"/>
      <c r="H56" s="209"/>
      <c r="I56" s="209"/>
      <c r="J56" s="209"/>
      <c r="K56" s="209"/>
      <c r="L56" s="209"/>
      <c r="M56" s="209"/>
      <c r="N56" s="217"/>
      <c r="O56" s="208"/>
      <c r="P56" s="208"/>
      <c r="Q56" s="208"/>
      <c r="R56" s="208"/>
      <c r="S56" s="208"/>
      <c r="T56" s="208"/>
      <c r="U56" s="208"/>
      <c r="V56" s="208"/>
      <c r="W56" s="210" t="s">
        <v>472</v>
      </c>
      <c r="X56" s="211" t="s">
        <v>593</v>
      </c>
      <c r="Y56" s="202"/>
      <c r="Z56" s="198"/>
      <c r="AA56" s="199"/>
      <c r="AE56" s="196"/>
    </row>
    <row r="57" spans="1:31" ht="20.25" customHeight="1">
      <c r="A57" s="210" t="s">
        <v>594</v>
      </c>
      <c r="B57" s="996" t="s">
        <v>595</v>
      </c>
      <c r="C57" s="935"/>
      <c r="D57" s="935"/>
      <c r="E57" s="935"/>
      <c r="F57" s="935"/>
      <c r="G57" s="935"/>
      <c r="H57" s="935"/>
      <c r="I57" s="935"/>
      <c r="J57" s="935"/>
      <c r="K57" s="935"/>
      <c r="L57" s="935"/>
      <c r="M57" s="935"/>
      <c r="N57" s="958"/>
      <c r="O57" s="217"/>
      <c r="P57" s="217"/>
      <c r="Q57" s="217"/>
      <c r="R57" s="217"/>
      <c r="S57" s="217"/>
      <c r="T57" s="217"/>
      <c r="U57" s="217"/>
      <c r="V57" s="217"/>
      <c r="W57" s="220"/>
      <c r="X57" s="234"/>
      <c r="Y57" s="202"/>
      <c r="Z57" s="198"/>
      <c r="AA57" s="199"/>
      <c r="AE57" s="196"/>
    </row>
    <row r="58" spans="1:31" ht="39.75" customHeight="1">
      <c r="A58" s="210" t="s">
        <v>596</v>
      </c>
      <c r="B58" s="240" t="str">
        <f ca="1">IFERROR(__xludf.DUMMYFUNCTION("GOOGLETRANSLATE('Workplan year2'!B58,""en"",""fr"")"),"Aider le pays pilote avec des méthodes, des outils, des produits pour la prestation de services dans les secteurs")</f>
        <v>Aider le pays pilote avec des méthodes, des outils, des produits pour la prestation de services dans les secteurs</v>
      </c>
      <c r="C58" s="208"/>
      <c r="D58" s="208"/>
      <c r="E58" s="209"/>
      <c r="F58" s="209"/>
      <c r="G58" s="209"/>
      <c r="H58" s="209"/>
      <c r="I58" s="208"/>
      <c r="J58" s="229"/>
      <c r="K58" s="229"/>
      <c r="L58" s="208"/>
      <c r="M58" s="208"/>
      <c r="N58" s="208"/>
      <c r="O58" s="208"/>
      <c r="P58" s="208"/>
      <c r="Q58" s="208"/>
      <c r="R58" s="208"/>
      <c r="S58" s="208"/>
      <c r="T58" s="208"/>
      <c r="U58" s="208"/>
      <c r="V58" s="208"/>
      <c r="W58" s="210" t="s">
        <v>472</v>
      </c>
      <c r="X58" s="211" t="s">
        <v>598</v>
      </c>
      <c r="Y58" s="202"/>
      <c r="Z58" s="198"/>
      <c r="AA58" s="199"/>
      <c r="AE58" s="196"/>
    </row>
    <row r="59" spans="1:31" ht="54.75" customHeight="1">
      <c r="A59" s="210" t="s">
        <v>599</v>
      </c>
      <c r="B59" s="240" t="str">
        <f ca="1">IFERROR(__xludf.DUMMYFUNCTION("GOOGLETRANSLATE('Workplan year2'!B59,""en"",""fr"")"),"Préparer le catalogue (y compris le catalogue WIS) des produits et automatiser leur génération et leur configuration à ACMAD dans la station climatique pour les pays pilotes
")</f>
        <v xml:space="preserve">Préparer le catalogue (y compris le catalogue WIS) des produits et automatiser leur génération et leur configuration à ACMAD dans la station climatique pour les pays pilotes
</v>
      </c>
      <c r="C59" s="209"/>
      <c r="D59" s="209"/>
      <c r="E59" s="209"/>
      <c r="F59" s="209"/>
      <c r="G59" s="209"/>
      <c r="H59" s="209"/>
      <c r="I59" s="209"/>
      <c r="J59" s="209"/>
      <c r="K59" s="209"/>
      <c r="L59" s="209"/>
      <c r="M59" s="209"/>
      <c r="N59" s="209"/>
      <c r="O59" s="208"/>
      <c r="P59" s="208"/>
      <c r="Q59" s="208"/>
      <c r="R59" s="208"/>
      <c r="S59" s="208"/>
      <c r="T59" s="208"/>
      <c r="U59" s="208"/>
      <c r="V59" s="208"/>
      <c r="W59" s="210" t="s">
        <v>472</v>
      </c>
      <c r="X59" s="211" t="s">
        <v>598</v>
      </c>
      <c r="Y59" s="202"/>
      <c r="Z59" s="198"/>
      <c r="AA59" s="199"/>
      <c r="AE59" s="196"/>
    </row>
    <row r="60" spans="1:31" ht="49.5" customHeight="1">
      <c r="A60" s="210" t="s">
        <v>601</v>
      </c>
      <c r="B60" s="240" t="str">
        <f ca="1">IFERROR(__xludf.DUMMYFUNCTION("GOOGLETRANSLATE('Workplan year2'!B60,""en"",""fr"")"),"Twin avec GPCS, RCCS et Pilot Country pour démontrer l'utilisation en temps réel de la station climatique pour les services climatiques")</f>
        <v>Twin avec GPCS, RCCS et Pilot Country pour démontrer l'utilisation en temps réel de la station climatique pour les services climatiques</v>
      </c>
      <c r="C60" s="209"/>
      <c r="D60" s="209"/>
      <c r="E60" s="209"/>
      <c r="F60" s="209"/>
      <c r="G60" s="209"/>
      <c r="H60" s="209"/>
      <c r="I60" s="209"/>
      <c r="J60" s="209"/>
      <c r="K60" s="209"/>
      <c r="L60" s="209"/>
      <c r="M60" s="209"/>
      <c r="N60" s="209"/>
      <c r="O60" s="208"/>
      <c r="P60" s="208"/>
      <c r="Q60" s="208"/>
      <c r="R60" s="208"/>
      <c r="S60" s="208"/>
      <c r="T60" s="208"/>
      <c r="U60" s="208"/>
      <c r="V60" s="208"/>
      <c r="W60" s="210" t="s">
        <v>518</v>
      </c>
      <c r="X60" s="211" t="s">
        <v>603</v>
      </c>
      <c r="Y60" s="202"/>
      <c r="Z60" s="198"/>
      <c r="AA60" s="199"/>
      <c r="AE60" s="196"/>
    </row>
    <row r="61" spans="1:31" ht="24" customHeight="1">
      <c r="A61" s="241" t="s">
        <v>604</v>
      </c>
      <c r="B61" s="1009" t="str">
        <f ca="1">IFERROR(__xludf.DUMMYFUNCTION("GOOGLETRANSLATE('Workplan year2'!B61,""en"",""fr"")"),"Activité 2.7 Assurance qualité pour la production du service climatique")</f>
        <v>Activité 2.7 Assurance qualité pour la production du service climatique</v>
      </c>
      <c r="C61" s="935"/>
      <c r="D61" s="935"/>
      <c r="E61" s="935"/>
      <c r="F61" s="935"/>
      <c r="G61" s="935"/>
      <c r="H61" s="935"/>
      <c r="I61" s="935"/>
      <c r="J61" s="935"/>
      <c r="K61" s="935"/>
      <c r="L61" s="935"/>
      <c r="M61" s="935"/>
      <c r="N61" s="958"/>
      <c r="O61" s="208"/>
      <c r="P61" s="208"/>
      <c r="Q61" s="208"/>
      <c r="R61" s="208"/>
      <c r="S61" s="208"/>
      <c r="T61" s="208"/>
      <c r="U61" s="208"/>
      <c r="V61" s="208"/>
      <c r="W61" s="210" t="s">
        <v>472</v>
      </c>
      <c r="X61" s="211" t="s">
        <v>606</v>
      </c>
      <c r="Y61" s="202"/>
      <c r="Z61" s="198"/>
      <c r="AA61" s="199"/>
      <c r="AE61" s="196"/>
    </row>
    <row r="62" spans="1:31" ht="49.5" customHeight="1">
      <c r="A62" s="210" t="s">
        <v>607</v>
      </c>
      <c r="B62" s="240" t="str">
        <f ca="1">IFERROR(__xludf.DUMMYFUNCTION("GOOGLETRANSLATE('Workplan year2'!B62,""en"",""fr"")"),"Mettre en place un manuel d'assurance qualité
Basé sur les guides WMO, la politique de qualité, la configuration du système d'archivage de documentation de qualité
")</f>
        <v xml:space="preserve">Mettre en place un manuel d'assurance qualité
Basé sur les guides WMO, la politique de qualité, la configuration du système d'archivage de documentation de qualité
</v>
      </c>
      <c r="C62" s="242"/>
      <c r="D62" s="242"/>
      <c r="E62" s="242"/>
      <c r="F62" s="242"/>
      <c r="G62" s="242"/>
      <c r="H62" s="242"/>
      <c r="I62" s="242"/>
      <c r="J62" s="242"/>
      <c r="K62" s="242"/>
      <c r="L62" s="242"/>
      <c r="M62" s="243"/>
      <c r="N62" s="244"/>
      <c r="O62" s="208"/>
      <c r="P62" s="208"/>
      <c r="Q62" s="208"/>
      <c r="R62" s="208"/>
      <c r="S62" s="208"/>
      <c r="T62" s="208"/>
      <c r="U62" s="208"/>
      <c r="V62" s="208"/>
      <c r="W62" s="210" t="s">
        <v>472</v>
      </c>
      <c r="X62" s="211" t="s">
        <v>609</v>
      </c>
      <c r="Y62" s="202"/>
      <c r="Z62" s="198"/>
      <c r="AA62" s="199"/>
      <c r="AE62" s="196"/>
    </row>
    <row r="63" spans="1:31" ht="36" customHeight="1">
      <c r="A63" s="210" t="s">
        <v>610</v>
      </c>
      <c r="B63" s="240" t="str">
        <f ca="1">IFERROR(__xludf.DUMMYFUNCTION("GOOGLETRANSLATE('Workplan year2'!B63,""en"",""fr"")"),"Préparer les procédures et les manuels d'instructions avec des études de cas ou des exemples pour contrôler la qualité
")</f>
        <v xml:space="preserve">Préparer les procédures et les manuels d'instructions avec des études de cas ou des exemples pour contrôler la qualité
</v>
      </c>
      <c r="C63" s="208"/>
      <c r="D63" s="209"/>
      <c r="E63" s="209"/>
      <c r="F63" s="209"/>
      <c r="G63" s="209"/>
      <c r="H63" s="209"/>
      <c r="I63" s="209"/>
      <c r="J63" s="209"/>
      <c r="K63" s="209"/>
      <c r="L63" s="209"/>
      <c r="M63" s="209"/>
      <c r="N63" s="209"/>
      <c r="O63" s="208"/>
      <c r="P63" s="208"/>
      <c r="Q63" s="208"/>
      <c r="R63" s="208"/>
      <c r="S63" s="208"/>
      <c r="T63" s="208"/>
      <c r="U63" s="208"/>
      <c r="V63" s="208"/>
      <c r="W63" s="210" t="s">
        <v>472</v>
      </c>
      <c r="X63" s="211" t="s">
        <v>612</v>
      </c>
      <c r="Y63" s="202"/>
      <c r="Z63" s="198"/>
      <c r="AA63" s="199"/>
      <c r="AE63" s="196"/>
    </row>
    <row r="64" spans="1:31" ht="21.75" customHeight="1">
      <c r="A64" s="210"/>
      <c r="B64" s="990" t="s">
        <v>914</v>
      </c>
      <c r="C64" s="935"/>
      <c r="D64" s="935"/>
      <c r="E64" s="935"/>
      <c r="F64" s="935"/>
      <c r="G64" s="935"/>
      <c r="H64" s="935"/>
      <c r="I64" s="935"/>
      <c r="J64" s="935"/>
      <c r="K64" s="935"/>
      <c r="L64" s="935"/>
      <c r="M64" s="935"/>
      <c r="N64" s="935"/>
      <c r="O64" s="935"/>
      <c r="P64" s="935"/>
      <c r="Q64" s="935"/>
      <c r="R64" s="935"/>
      <c r="S64" s="935"/>
      <c r="T64" s="935"/>
      <c r="U64" s="935"/>
      <c r="V64" s="935"/>
      <c r="W64" s="935"/>
      <c r="X64" s="987"/>
      <c r="Y64" s="245">
        <f>302924.876</f>
        <v>302924.87599999999</v>
      </c>
      <c r="Z64" s="198"/>
      <c r="AA64" s="199"/>
      <c r="AB64" s="196">
        <f>302924.876</f>
        <v>302924.87599999999</v>
      </c>
      <c r="AC64" s="196"/>
      <c r="AD64" s="196"/>
      <c r="AE64" s="246">
        <f>Y64/Y116</f>
        <v>0.2173913041294136</v>
      </c>
    </row>
    <row r="65" spans="1:31" ht="30.75" customHeight="1">
      <c r="A65" s="210" t="s">
        <v>614</v>
      </c>
      <c r="B65" s="996" t="s">
        <v>615</v>
      </c>
      <c r="C65" s="935"/>
      <c r="D65" s="935"/>
      <c r="E65" s="935"/>
      <c r="F65" s="935"/>
      <c r="G65" s="935"/>
      <c r="H65" s="935"/>
      <c r="I65" s="935"/>
      <c r="J65" s="935"/>
      <c r="K65" s="935"/>
      <c r="L65" s="935"/>
      <c r="M65" s="935"/>
      <c r="N65" s="958"/>
      <c r="O65" s="217"/>
      <c r="P65" s="217"/>
      <c r="Q65" s="217"/>
      <c r="R65" s="217"/>
      <c r="S65" s="217"/>
      <c r="T65" s="217"/>
      <c r="U65" s="217"/>
      <c r="V65" s="217"/>
      <c r="W65" s="220"/>
      <c r="X65" s="247"/>
      <c r="Y65" s="213"/>
      <c r="Z65" s="198"/>
      <c r="AA65" s="199"/>
      <c r="AE65" s="196"/>
    </row>
    <row r="66" spans="1:31" ht="36" customHeight="1">
      <c r="A66" s="210" t="s">
        <v>616</v>
      </c>
      <c r="B66" s="240" t="str">
        <f ca="1">IFERROR(__xludf.DUMMYFUNCTION("GOOGLETRANSLATE('Workplan year2'!B66,""en"",""fr"")"),"Surveiller et évaluer les lacunes dans les stations d'observation synoptique")</f>
        <v>Surveiller et évaluer les lacunes dans les stations d'observation synoptique</v>
      </c>
      <c r="C66" s="209"/>
      <c r="D66" s="209"/>
      <c r="E66" s="209"/>
      <c r="F66" s="209"/>
      <c r="G66" s="209"/>
      <c r="H66" s="209"/>
      <c r="I66" s="209"/>
      <c r="J66" s="209"/>
      <c r="K66" s="209"/>
      <c r="L66" s="209"/>
      <c r="M66" s="209"/>
      <c r="N66" s="209"/>
      <c r="O66" s="208"/>
      <c r="P66" s="208"/>
      <c r="Q66" s="208"/>
      <c r="R66" s="208"/>
      <c r="S66" s="208"/>
      <c r="T66" s="208"/>
      <c r="U66" s="208"/>
      <c r="V66" s="208"/>
      <c r="W66" s="210" t="s">
        <v>472</v>
      </c>
      <c r="X66" s="211" t="s">
        <v>618</v>
      </c>
      <c r="Y66" s="202"/>
      <c r="Z66" s="198"/>
      <c r="AA66" s="199"/>
      <c r="AE66" s="196"/>
    </row>
    <row r="67" spans="1:31" ht="54.75" customHeight="1">
      <c r="A67" s="210" t="s">
        <v>619</v>
      </c>
      <c r="B67" s="240" t="s">
        <v>620</v>
      </c>
      <c r="C67" s="217"/>
      <c r="D67" s="217"/>
      <c r="E67" s="217"/>
      <c r="F67" s="209"/>
      <c r="G67" s="209"/>
      <c r="H67" s="209"/>
      <c r="I67" s="209"/>
      <c r="J67" s="217"/>
      <c r="K67" s="217"/>
      <c r="L67" s="217"/>
      <c r="M67" s="217"/>
      <c r="N67" s="217"/>
      <c r="O67" s="208"/>
      <c r="P67" s="208"/>
      <c r="Q67" s="208"/>
      <c r="R67" s="208"/>
      <c r="S67" s="208"/>
      <c r="T67" s="208"/>
      <c r="U67" s="208"/>
      <c r="V67" s="208"/>
      <c r="W67" s="210" t="s">
        <v>472</v>
      </c>
      <c r="X67" s="211" t="s">
        <v>621</v>
      </c>
      <c r="Y67" s="202"/>
      <c r="Z67" s="198"/>
      <c r="AA67" s="199"/>
      <c r="AE67" s="196"/>
    </row>
    <row r="68" spans="1:31" ht="60.75" customHeight="1">
      <c r="A68" s="210" t="s">
        <v>622</v>
      </c>
      <c r="B68" s="240" t="s">
        <v>620</v>
      </c>
      <c r="C68" s="217"/>
      <c r="D68" s="217"/>
      <c r="E68" s="217"/>
      <c r="F68" s="209"/>
      <c r="G68" s="209"/>
      <c r="H68" s="209"/>
      <c r="I68" s="217"/>
      <c r="J68" s="217"/>
      <c r="K68" s="217"/>
      <c r="L68" s="217"/>
      <c r="M68" s="217"/>
      <c r="N68" s="217"/>
      <c r="O68" s="208"/>
      <c r="P68" s="208"/>
      <c r="Q68" s="208"/>
      <c r="R68" s="208"/>
      <c r="S68" s="208"/>
      <c r="T68" s="208"/>
      <c r="U68" s="208"/>
      <c r="V68" s="208"/>
      <c r="W68" s="210" t="s">
        <v>472</v>
      </c>
      <c r="X68" s="211" t="s">
        <v>524</v>
      </c>
      <c r="Y68" s="202"/>
      <c r="Z68" s="198"/>
      <c r="AA68" s="199"/>
      <c r="AE68" s="196"/>
    </row>
    <row r="69" spans="1:31" ht="36" hidden="1" customHeight="1">
      <c r="A69" s="210"/>
      <c r="B69" s="231"/>
      <c r="C69" s="208"/>
      <c r="D69" s="208"/>
      <c r="E69" s="208"/>
      <c r="F69" s="208"/>
      <c r="G69" s="208"/>
      <c r="H69" s="208"/>
      <c r="I69" s="217"/>
      <c r="J69" s="217"/>
      <c r="K69" s="217"/>
      <c r="L69" s="217"/>
      <c r="M69" s="208"/>
      <c r="N69" s="208"/>
      <c r="O69" s="208"/>
      <c r="P69" s="208"/>
      <c r="Q69" s="208"/>
      <c r="R69" s="208"/>
      <c r="S69" s="208"/>
      <c r="T69" s="208"/>
      <c r="U69" s="208"/>
      <c r="V69" s="208"/>
      <c r="W69" s="210"/>
      <c r="X69" s="211"/>
      <c r="Y69" s="202"/>
      <c r="Z69" s="198"/>
      <c r="AA69" s="199"/>
      <c r="AE69" s="196"/>
    </row>
    <row r="70" spans="1:31" ht="29.25" customHeight="1">
      <c r="A70" s="210" t="s">
        <v>624</v>
      </c>
      <c r="B70" s="996" t="str">
        <f ca="1">IFERROR(__xludf.DUMMYFUNCTION("GOOGLETRANSLATE('Workplan year2'!B70,""en"",""fr"")"),"Activité 3.2. Promouvoir l'accès aux RCC et NMH aux données et aux accords avec les fournisseurs de données mondiaux")</f>
        <v>Activité 3.2. Promouvoir l'accès aux RCC et NMH aux données et aux accords avec les fournisseurs de données mondiaux</v>
      </c>
      <c r="C70" s="935"/>
      <c r="D70" s="935"/>
      <c r="E70" s="935"/>
      <c r="F70" s="935"/>
      <c r="G70" s="935"/>
      <c r="H70" s="935"/>
      <c r="I70" s="935"/>
      <c r="J70" s="935"/>
      <c r="K70" s="935"/>
      <c r="L70" s="935"/>
      <c r="M70" s="935"/>
      <c r="N70" s="958"/>
      <c r="O70" s="208"/>
      <c r="P70" s="208"/>
      <c r="Q70" s="208"/>
      <c r="R70" s="208"/>
      <c r="S70" s="208"/>
      <c r="T70" s="208"/>
      <c r="U70" s="208"/>
      <c r="V70" s="208"/>
      <c r="W70" s="210"/>
      <c r="X70" s="211"/>
      <c r="Y70" s="202"/>
      <c r="Z70" s="198"/>
      <c r="AA70" s="199"/>
      <c r="AE70" s="196"/>
    </row>
    <row r="71" spans="1:31" ht="52.5" customHeight="1">
      <c r="A71" s="210" t="s">
        <v>626</v>
      </c>
      <c r="B71" s="190" t="str">
        <f ca="1">IFERROR(__xludf.DUMMYFUNCTION("GOOGLETRANSLATE('Workplan year2'!B71,""en"",""fr"")"),"Maintenir le contact NMHS Niger, Asecna, Meteo Maroc, Eumetsatand WMO pour mettre en œuvre WIS, démontrez la capacité WIS / DCPC à ACMAD")</f>
        <v>Maintenir le contact NMHS Niger, Asecna, Meteo Maroc, Eumetsatand WMO pour mettre en œuvre WIS, démontrez la capacité WIS / DCPC à ACMAD</v>
      </c>
      <c r="C71" s="208"/>
      <c r="D71" s="208"/>
      <c r="E71" s="209"/>
      <c r="F71" s="209"/>
      <c r="G71" s="209"/>
      <c r="H71" s="209"/>
      <c r="I71" s="209"/>
      <c r="J71" s="217"/>
      <c r="K71" s="217"/>
      <c r="L71" s="209"/>
      <c r="M71" s="209"/>
      <c r="N71" s="209"/>
      <c r="O71" s="208"/>
      <c r="P71" s="208"/>
      <c r="Q71" s="208"/>
      <c r="R71" s="208"/>
      <c r="S71" s="208"/>
      <c r="T71" s="208"/>
      <c r="U71" s="208"/>
      <c r="V71" s="208"/>
      <c r="W71" s="210" t="s">
        <v>472</v>
      </c>
      <c r="X71" s="211" t="s">
        <v>628</v>
      </c>
      <c r="Y71" s="202"/>
      <c r="Z71" s="198"/>
      <c r="AA71" s="199"/>
      <c r="AE71" s="196"/>
    </row>
    <row r="72" spans="1:31" ht="39" customHeight="1">
      <c r="A72" s="210" t="s">
        <v>629</v>
      </c>
      <c r="B72" s="190" t="str">
        <f ca="1">IFERROR(__xludf.DUMMYFUNCTION("GOOGLETRANSLATE('Workplan year2'!B72,""en"",""fr"")")," Examiner, mettre à jour, établir des accords pour le partage de données avec les partenaires")</f>
        <v xml:space="preserve"> Examiner, mettre à jour, établir des accords pour le partage de données avec les partenaires</v>
      </c>
      <c r="C72" s="209"/>
      <c r="D72" s="209"/>
      <c r="E72" s="209"/>
      <c r="F72" s="209"/>
      <c r="G72" s="209"/>
      <c r="H72" s="209"/>
      <c r="I72" s="209"/>
      <c r="J72" s="209"/>
      <c r="K72" s="209"/>
      <c r="L72" s="209"/>
      <c r="M72" s="209"/>
      <c r="N72" s="209"/>
      <c r="O72" s="208"/>
      <c r="P72" s="208"/>
      <c r="Q72" s="208"/>
      <c r="R72" s="208"/>
      <c r="S72" s="208"/>
      <c r="T72" s="208"/>
      <c r="U72" s="208"/>
      <c r="V72" s="208"/>
      <c r="W72" s="210" t="s">
        <v>472</v>
      </c>
      <c r="X72" s="211" t="s">
        <v>631</v>
      </c>
      <c r="Y72" s="202"/>
      <c r="Z72" s="198"/>
      <c r="AA72" s="199"/>
      <c r="AE72" s="196"/>
    </row>
    <row r="73" spans="1:31" ht="29.25" customHeight="1">
      <c r="A73" s="210" t="s">
        <v>632</v>
      </c>
      <c r="B73" s="190" t="str">
        <f ca="1">IFERROR(__xludf.DUMMYFUNCTION("GOOGLETRANSLATE('Workplan year2'!B73,""en"",""fr"")"),"Aider l'AUC à déployer, à maintenir le climat, le puma, les stations RARS à travers l'Afrique")</f>
        <v>Aider l'AUC à déployer, à maintenir le climat, le puma, les stations RARS à travers l'Afrique</v>
      </c>
      <c r="C73" s="209"/>
      <c r="D73" s="209"/>
      <c r="E73" s="209"/>
      <c r="F73" s="209"/>
      <c r="G73" s="209"/>
      <c r="H73" s="209"/>
      <c r="I73" s="209"/>
      <c r="J73" s="209"/>
      <c r="K73" s="209"/>
      <c r="L73" s="209"/>
      <c r="M73" s="209"/>
      <c r="N73" s="209"/>
      <c r="O73" s="208"/>
      <c r="P73" s="208"/>
      <c r="Q73" s="208"/>
      <c r="R73" s="208"/>
      <c r="S73" s="208"/>
      <c r="T73" s="208"/>
      <c r="U73" s="208"/>
      <c r="V73" s="208"/>
      <c r="W73" s="210" t="s">
        <v>472</v>
      </c>
      <c r="X73" s="211" t="s">
        <v>634</v>
      </c>
      <c r="Y73" s="202"/>
      <c r="Z73" s="198"/>
      <c r="AA73" s="199"/>
      <c r="AE73" s="196"/>
    </row>
    <row r="74" spans="1:31" ht="36" hidden="1" customHeight="1">
      <c r="A74" s="210"/>
      <c r="B74" s="231"/>
      <c r="C74" s="208"/>
      <c r="D74" s="208"/>
      <c r="E74" s="208"/>
      <c r="F74" s="217"/>
      <c r="G74" s="217"/>
      <c r="H74" s="217"/>
      <c r="I74" s="217"/>
      <c r="J74" s="217"/>
      <c r="K74" s="217"/>
      <c r="L74" s="208"/>
      <c r="M74" s="208"/>
      <c r="N74" s="208"/>
      <c r="O74" s="208"/>
      <c r="P74" s="208"/>
      <c r="Q74" s="208"/>
      <c r="R74" s="208"/>
      <c r="S74" s="208"/>
      <c r="T74" s="208"/>
      <c r="U74" s="208"/>
      <c r="V74" s="208"/>
      <c r="W74" s="210"/>
      <c r="X74" s="211"/>
      <c r="Y74" s="202"/>
      <c r="Z74" s="198"/>
      <c r="AA74" s="199"/>
      <c r="AE74" s="196"/>
    </row>
    <row r="75" spans="1:31" ht="34.5" customHeight="1">
      <c r="A75" s="210" t="s">
        <v>635</v>
      </c>
      <c r="B75" s="1007" t="str">
        <f ca="1">IFERROR(__xludf.DUMMYFUNCTION("GOOGLETRANSLATE('Workplan year2'!B75,""en"",""fr"")"),"Activité 3.3 Définir et consolider les exigences pour les services axés sur les utilisateurs et fournir des commentaires aux fournisseurs de données internationales")</f>
        <v>Activité 3.3 Définir et consolider les exigences pour les services axés sur les utilisateurs et fournir des commentaires aux fournisseurs de données internationales</v>
      </c>
      <c r="C75" s="935"/>
      <c r="D75" s="935"/>
      <c r="E75" s="935"/>
      <c r="F75" s="935"/>
      <c r="G75" s="935"/>
      <c r="H75" s="935"/>
      <c r="I75" s="935"/>
      <c r="J75" s="935"/>
      <c r="K75" s="935"/>
      <c r="L75" s="935"/>
      <c r="M75" s="935"/>
      <c r="N75" s="958"/>
      <c r="O75" s="208"/>
      <c r="P75" s="208"/>
      <c r="Q75" s="208"/>
      <c r="R75" s="208"/>
      <c r="S75" s="208"/>
      <c r="T75" s="208"/>
      <c r="U75" s="208"/>
      <c r="V75" s="208"/>
      <c r="W75" s="210" t="s">
        <v>472</v>
      </c>
      <c r="X75" s="211" t="s">
        <v>637</v>
      </c>
      <c r="Y75" s="202"/>
      <c r="Z75" s="198"/>
      <c r="AA75" s="199"/>
      <c r="AE75" s="196"/>
    </row>
    <row r="76" spans="1:31" ht="58.5" customHeight="1">
      <c r="A76" s="210" t="s">
        <v>616</v>
      </c>
      <c r="B76" s="240" t="str">
        <f ca="1">IFERROR(__xludf.DUMMYFUNCTION("GOOGLETRANSLATE('Workplan year2'!B76,""en"",""fr"")")," Consolider les exigences pour les produits pour répondre aux besoins des utilisateurs de RCCS et de pilote NMHSS par le biais d'enquêtes et d'ateliers et d'autres événements")</f>
        <v xml:space="preserve"> Consolider les exigences pour les produits pour répondre aux besoins des utilisateurs de RCCS et de pilote NMHSS par le biais d'enquêtes et d'ateliers et d'autres événements</v>
      </c>
      <c r="C76" s="208"/>
      <c r="D76" s="209"/>
      <c r="E76" s="209"/>
      <c r="F76" s="209"/>
      <c r="G76" s="209"/>
      <c r="H76" s="209"/>
      <c r="I76" s="217"/>
      <c r="J76" s="217"/>
      <c r="K76" s="209"/>
      <c r="L76" s="209"/>
      <c r="M76" s="209"/>
      <c r="N76" s="209"/>
      <c r="O76" s="208"/>
      <c r="P76" s="208"/>
      <c r="Q76" s="208"/>
      <c r="R76" s="208"/>
      <c r="S76" s="208"/>
      <c r="T76" s="208"/>
      <c r="U76" s="208"/>
      <c r="V76" s="208"/>
      <c r="W76" s="210" t="s">
        <v>472</v>
      </c>
      <c r="X76" s="211" t="s">
        <v>603</v>
      </c>
      <c r="Y76" s="202"/>
      <c r="Z76" s="198"/>
      <c r="AA76" s="199"/>
      <c r="AE76" s="196"/>
    </row>
    <row r="77" spans="1:31" ht="54" customHeight="1">
      <c r="A77" s="210" t="s">
        <v>619</v>
      </c>
      <c r="B77" s="240" t="str">
        <f ca="1">IFERROR(__xludf.DUMMYFUNCTION("GOOGLETRANSLATE('Workplan year2'!B77,""en"",""fr"")"),"Commentaires aux fournisseurs de données mondiaux sur les exigences du RCCS et du Pilot NMHSS via des webinaires et des mécanismes orthères, y compris Raideg")</f>
        <v>Commentaires aux fournisseurs de données mondiaux sur les exigences du RCCS et du Pilot NMHSS via des webinaires et des mécanismes orthères, y compris Raideg</v>
      </c>
      <c r="C77" s="209"/>
      <c r="D77" s="209"/>
      <c r="E77" s="209"/>
      <c r="F77" s="209"/>
      <c r="G77" s="209"/>
      <c r="H77" s="209"/>
      <c r="I77" s="209"/>
      <c r="J77" s="209"/>
      <c r="K77" s="209"/>
      <c r="L77" s="209"/>
      <c r="M77" s="209"/>
      <c r="N77" s="209"/>
      <c r="O77" s="208"/>
      <c r="P77" s="208"/>
      <c r="Q77" s="208"/>
      <c r="R77" s="208"/>
      <c r="S77" s="208"/>
      <c r="T77" s="208"/>
      <c r="U77" s="208"/>
      <c r="V77" s="208"/>
      <c r="W77" s="210" t="s">
        <v>472</v>
      </c>
      <c r="X77" s="211" t="s">
        <v>570</v>
      </c>
      <c r="Y77" s="202"/>
      <c r="Z77" s="198"/>
      <c r="AA77" s="199"/>
      <c r="AE77" s="196"/>
    </row>
    <row r="78" spans="1:31" ht="32.25" hidden="1" customHeight="1">
      <c r="A78" s="210"/>
      <c r="B78" s="225"/>
      <c r="C78" s="208"/>
      <c r="D78" s="208"/>
      <c r="E78" s="208"/>
      <c r="F78" s="208"/>
      <c r="G78" s="217"/>
      <c r="H78" s="217"/>
      <c r="I78" s="217"/>
      <c r="J78" s="217"/>
      <c r="K78" s="208"/>
      <c r="L78" s="208"/>
      <c r="M78" s="208"/>
      <c r="N78" s="208"/>
      <c r="O78" s="208"/>
      <c r="P78" s="208"/>
      <c r="Q78" s="208"/>
      <c r="R78" s="208"/>
      <c r="S78" s="208"/>
      <c r="T78" s="208"/>
      <c r="U78" s="208"/>
      <c r="V78" s="208"/>
      <c r="W78" s="210"/>
      <c r="X78" s="211"/>
      <c r="Y78" s="202"/>
      <c r="Z78" s="198"/>
      <c r="AA78" s="199"/>
      <c r="AE78" s="196"/>
    </row>
    <row r="79" spans="1:31" ht="31.5" customHeight="1">
      <c r="A79" s="210" t="s">
        <v>640</v>
      </c>
      <c r="B79" s="1007" t="s">
        <v>915</v>
      </c>
      <c r="C79" s="935"/>
      <c r="D79" s="935"/>
      <c r="E79" s="935"/>
      <c r="F79" s="935"/>
      <c r="G79" s="935"/>
      <c r="H79" s="935"/>
      <c r="I79" s="935"/>
      <c r="J79" s="935"/>
      <c r="K79" s="935"/>
      <c r="L79" s="935"/>
      <c r="M79" s="935"/>
      <c r="N79" s="958"/>
      <c r="O79" s="217"/>
      <c r="P79" s="217"/>
      <c r="Q79" s="217"/>
      <c r="R79" s="217"/>
      <c r="S79" s="217"/>
      <c r="T79" s="217"/>
      <c r="U79" s="217"/>
      <c r="V79" s="217"/>
      <c r="W79" s="220"/>
      <c r="X79" s="211"/>
      <c r="Y79" s="202"/>
      <c r="Z79" s="198"/>
      <c r="AA79" s="199"/>
      <c r="AE79" s="196"/>
    </row>
    <row r="80" spans="1:31" ht="25.5" customHeight="1">
      <c r="A80" s="210" t="s">
        <v>642</v>
      </c>
      <c r="B80" s="240" t="str">
        <f ca="1">IFERROR(__xludf.DUMMYFUNCTION("GOOGLETRANSLATE('Workplan year2'!B80,""en"",""fr"")"),"Faire l'inventaire des données sur les microfiches et le papier")</f>
        <v>Faire l'inventaire des données sur les microfiches et le papier</v>
      </c>
      <c r="C80" s="208"/>
      <c r="D80" s="208"/>
      <c r="E80" s="208"/>
      <c r="F80" s="209"/>
      <c r="G80" s="209"/>
      <c r="H80" s="209"/>
      <c r="I80" s="209"/>
      <c r="J80" s="217"/>
      <c r="K80" s="217"/>
      <c r="L80" s="217"/>
      <c r="M80" s="209"/>
      <c r="N80" s="209"/>
      <c r="O80" s="208"/>
      <c r="P80" s="208"/>
      <c r="Q80" s="208"/>
      <c r="R80" s="208"/>
      <c r="S80" s="208"/>
      <c r="T80" s="208"/>
      <c r="U80" s="208"/>
      <c r="V80" s="208"/>
      <c r="W80" s="210" t="s">
        <v>472</v>
      </c>
      <c r="X80" s="211" t="s">
        <v>644</v>
      </c>
      <c r="Y80" s="202"/>
      <c r="Z80" s="198"/>
      <c r="AA80" s="199"/>
      <c r="AE80" s="196"/>
    </row>
    <row r="81" spans="1:31" ht="49.5" customHeight="1">
      <c r="A81" s="210" t="s">
        <v>645</v>
      </c>
      <c r="B81" s="240" t="str">
        <f ca="1">IFERROR(__xludf.DUMMYFUNCTION("GOOGLETRANSLATE('Workplan year2'!B81,""en"",""fr"")"),"Assurer la liaison avec Copernic sur les données de sauvetage et les réanalyses, soutenir la numérisation et la numérisation des enregistrements historiques")</f>
        <v>Assurer la liaison avec Copernic sur les données de sauvetage et les réanalyses, soutenir la numérisation et la numérisation des enregistrements historiques</v>
      </c>
      <c r="C81" s="208"/>
      <c r="D81" s="208"/>
      <c r="E81" s="208"/>
      <c r="F81" s="208"/>
      <c r="G81" s="208"/>
      <c r="H81" s="208"/>
      <c r="I81" s="208"/>
      <c r="J81" s="217"/>
      <c r="K81" s="217"/>
      <c r="L81" s="208"/>
      <c r="M81" s="208"/>
      <c r="N81" s="209"/>
      <c r="O81" s="208"/>
      <c r="P81" s="208"/>
      <c r="Q81" s="208"/>
      <c r="R81" s="208"/>
      <c r="S81" s="208"/>
      <c r="T81" s="208"/>
      <c r="U81" s="208"/>
      <c r="V81" s="208"/>
      <c r="W81" s="210" t="s">
        <v>518</v>
      </c>
      <c r="X81" s="211" t="s">
        <v>647</v>
      </c>
      <c r="Y81" s="202"/>
      <c r="Z81" s="198"/>
      <c r="AA81" s="199"/>
      <c r="AE81" s="196"/>
    </row>
    <row r="82" spans="1:31" ht="48" customHeight="1">
      <c r="A82" s="210" t="s">
        <v>648</v>
      </c>
      <c r="B82" s="240" t="str">
        <f ca="1">IFERROR(__xludf.DUMMYFUNCTION("GOOGLETRANSLATE('Workplan year2'!B82,""en"",""fr"")"),"entreprendre le contrôle de la qualité, l'homogénéisation, le formatage de WIS et l'archivage pour l'extraction des fourrures pour les applications")</f>
        <v>entreprendre le contrôle de la qualité, l'homogénéisation, le formatage de WIS et l'archivage pour l'extraction des fourrures pour les applications</v>
      </c>
      <c r="C82" s="208"/>
      <c r="D82" s="208"/>
      <c r="E82" s="209"/>
      <c r="F82" s="209"/>
      <c r="G82" s="209"/>
      <c r="H82" s="209"/>
      <c r="I82" s="209"/>
      <c r="J82" s="209"/>
      <c r="K82" s="209"/>
      <c r="L82" s="209"/>
      <c r="M82" s="209"/>
      <c r="N82" s="217"/>
      <c r="O82" s="208"/>
      <c r="P82" s="208"/>
      <c r="Q82" s="208"/>
      <c r="R82" s="208"/>
      <c r="S82" s="208"/>
      <c r="T82" s="208"/>
      <c r="U82" s="208"/>
      <c r="V82" s="208"/>
      <c r="W82" s="210" t="s">
        <v>472</v>
      </c>
      <c r="X82" s="211" t="s">
        <v>650</v>
      </c>
      <c r="Y82" s="202"/>
      <c r="Z82" s="198"/>
      <c r="AA82" s="199"/>
      <c r="AE82" s="196"/>
    </row>
    <row r="83" spans="1:31" ht="50.25" customHeight="1">
      <c r="A83" s="210" t="s">
        <v>651</v>
      </c>
      <c r="B83" s="240" t="str">
        <f ca="1">IFERROR(__xludf.DUMMYFUNCTION("GOOGLETRANSLATE('Workplan year2'!B83,""en"",""fr"")"),"Organisez la formation professionnelle, les détachements, les internes et les bourses sur la gestion des données et l'échange")</f>
        <v>Organisez la formation professionnelle, les détachements, les internes et les bourses sur la gestion des données et l'échange</v>
      </c>
      <c r="C83" s="209"/>
      <c r="D83" s="209"/>
      <c r="E83" s="209"/>
      <c r="F83" s="209"/>
      <c r="G83" s="209"/>
      <c r="H83" s="209"/>
      <c r="I83" s="209"/>
      <c r="J83" s="209"/>
      <c r="K83" s="209"/>
      <c r="L83" s="209"/>
      <c r="M83" s="209"/>
      <c r="N83" s="209"/>
      <c r="O83" s="208"/>
      <c r="P83" s="208"/>
      <c r="Q83" s="208"/>
      <c r="R83" s="208"/>
      <c r="S83" s="208"/>
      <c r="T83" s="208"/>
      <c r="U83" s="208"/>
      <c r="V83" s="208"/>
      <c r="W83" s="210" t="s">
        <v>472</v>
      </c>
      <c r="X83" s="211" t="s">
        <v>653</v>
      </c>
      <c r="Y83" s="202"/>
      <c r="Z83" s="198"/>
      <c r="AA83" s="199"/>
      <c r="AE83" s="196"/>
    </row>
    <row r="84" spans="1:31" ht="27" customHeight="1">
      <c r="A84" s="210" t="s">
        <v>654</v>
      </c>
      <c r="B84" s="1007" t="s">
        <v>916</v>
      </c>
      <c r="C84" s="935"/>
      <c r="D84" s="935"/>
      <c r="E84" s="935"/>
      <c r="F84" s="935"/>
      <c r="G84" s="935"/>
      <c r="H84" s="935"/>
      <c r="I84" s="935"/>
      <c r="J84" s="935"/>
      <c r="K84" s="935"/>
      <c r="L84" s="935"/>
      <c r="M84" s="935"/>
      <c r="N84" s="958"/>
      <c r="O84" s="208"/>
      <c r="P84" s="208"/>
      <c r="Q84" s="208"/>
      <c r="R84" s="208"/>
      <c r="S84" s="208"/>
      <c r="T84" s="208"/>
      <c r="U84" s="208"/>
      <c r="V84" s="208"/>
      <c r="W84" s="210"/>
      <c r="X84" s="211"/>
      <c r="Y84" s="202"/>
      <c r="Z84" s="198"/>
      <c r="AA84" s="199"/>
      <c r="AE84" s="196"/>
    </row>
    <row r="85" spans="1:31" ht="57.75" customHeight="1">
      <c r="A85" s="210" t="s">
        <v>656</v>
      </c>
      <c r="B85" s="190" t="str">
        <f ca="1">IFERROR(__xludf.DUMMYFUNCTION("GOOGLETRANSLATE('Workplan year2'!B85,""en"",""fr"")"),"Méthodes et outils de documents pour les données d'observation et de modèles Intercompardités et comparaisons (méthodes et outils de science des données)")</f>
        <v>Méthodes et outils de documents pour les données d'observation et de modèles Intercompardités et comparaisons (méthodes et outils de science des données)</v>
      </c>
      <c r="C85" s="209"/>
      <c r="D85" s="209"/>
      <c r="E85" s="208"/>
      <c r="F85" s="208"/>
      <c r="G85" s="208"/>
      <c r="H85" s="208"/>
      <c r="I85" s="208"/>
      <c r="J85" s="209"/>
      <c r="K85" s="209"/>
      <c r="L85" s="209"/>
      <c r="M85" s="217"/>
      <c r="N85" s="217"/>
      <c r="O85" s="208"/>
      <c r="P85" s="208"/>
      <c r="Q85" s="208"/>
      <c r="R85" s="208"/>
      <c r="S85" s="208"/>
      <c r="T85" s="208"/>
      <c r="U85" s="208"/>
      <c r="V85" s="208"/>
      <c r="W85" s="210" t="s">
        <v>472</v>
      </c>
      <c r="X85" s="211" t="s">
        <v>609</v>
      </c>
      <c r="Y85" s="202"/>
      <c r="Z85" s="198"/>
      <c r="AA85" s="199"/>
      <c r="AE85" s="196"/>
    </row>
    <row r="86" spans="1:31" ht="51.75" customHeight="1">
      <c r="A86" s="210" t="s">
        <v>658</v>
      </c>
      <c r="B86" s="190" t="str">
        <f ca="1">IFERROR(__xludf.DUMMYFUNCTION("GOOGLETRANSLATE('Workplan year2'!B86,""en"",""fr"")"),"Utilisez les outils pour l'évaluation des performances et de l'utilité, fournissez une gydance à usage régional et national")</f>
        <v>Utilisez les outils pour l'évaluation des performances et de l'utilité, fournissez une gydance à usage régional et national</v>
      </c>
      <c r="C86" s="208"/>
      <c r="D86" s="208"/>
      <c r="E86" s="208"/>
      <c r="F86" s="209"/>
      <c r="G86" s="209"/>
      <c r="H86" s="209"/>
      <c r="I86" s="208"/>
      <c r="J86" s="209"/>
      <c r="K86" s="209"/>
      <c r="L86" s="209"/>
      <c r="M86" s="209"/>
      <c r="N86" s="217"/>
      <c r="O86" s="208"/>
      <c r="P86" s="208"/>
      <c r="Q86" s="208"/>
      <c r="R86" s="208"/>
      <c r="S86" s="208"/>
      <c r="T86" s="208"/>
      <c r="U86" s="208"/>
      <c r="V86" s="208"/>
      <c r="W86" s="210" t="s">
        <v>472</v>
      </c>
      <c r="X86" s="211" t="s">
        <v>566</v>
      </c>
      <c r="Y86" s="202"/>
      <c r="Z86" s="198"/>
      <c r="AA86" s="199"/>
      <c r="AE86" s="196"/>
    </row>
    <row r="87" spans="1:31" ht="50.25" customHeight="1">
      <c r="A87" s="210" t="s">
        <v>660</v>
      </c>
      <c r="B87" s="190" t="str">
        <f ca="1">IFERROR(__xludf.DUMMYFUNCTION("GOOGLETRANSLATE('Workplan year2'!B87,""en"",""fr"")"),"Mettre à jour les outils pour l'étalonnage, la réduction d'échelle, la correction du biais, la combinaison multi-modèles et la partage avec les pays")</f>
        <v>Mettre à jour les outils pour l'étalonnage, la réduction d'échelle, la correction du biais, la combinaison multi-modèles et la partage avec les pays</v>
      </c>
      <c r="C87" s="208"/>
      <c r="D87" s="208"/>
      <c r="E87" s="208"/>
      <c r="F87" s="208"/>
      <c r="G87" s="208"/>
      <c r="H87" s="209"/>
      <c r="I87" s="209"/>
      <c r="J87" s="209"/>
      <c r="K87" s="209"/>
      <c r="L87" s="209"/>
      <c r="M87" s="217"/>
      <c r="N87" s="217"/>
      <c r="O87" s="208"/>
      <c r="P87" s="208"/>
      <c r="Q87" s="208"/>
      <c r="R87" s="208"/>
      <c r="S87" s="208"/>
      <c r="T87" s="208"/>
      <c r="U87" s="208"/>
      <c r="V87" s="208"/>
      <c r="W87" s="210" t="s">
        <v>472</v>
      </c>
      <c r="X87" s="211" t="s">
        <v>612</v>
      </c>
      <c r="Y87" s="202"/>
      <c r="Z87" s="198"/>
      <c r="AA87" s="199"/>
      <c r="AE87" s="196"/>
    </row>
    <row r="88" spans="1:31" ht="33.75" customHeight="1">
      <c r="A88" s="210"/>
      <c r="B88" s="991" t="str">
        <f ca="1">IFERROR(__xludf.DUMMYFUNCTION("GOOGLETRANSLATE('Workplan year2'!B88,""en"",""fr"")"),"                                                                              Sortie 4: Capacité améliorée pour générer et appliquer des informations climatiques")</f>
        <v xml:space="preserve">                                                                              Sortie 4: Capacité améliorée pour générer et appliquer des informations climatiques</v>
      </c>
      <c r="C88" s="935"/>
      <c r="D88" s="935"/>
      <c r="E88" s="935"/>
      <c r="F88" s="935"/>
      <c r="G88" s="935"/>
      <c r="H88" s="935"/>
      <c r="I88" s="935"/>
      <c r="J88" s="935"/>
      <c r="K88" s="935"/>
      <c r="L88" s="935"/>
      <c r="M88" s="935"/>
      <c r="N88" s="935"/>
      <c r="O88" s="935"/>
      <c r="P88" s="935"/>
      <c r="Q88" s="935"/>
      <c r="R88" s="935"/>
      <c r="S88" s="935"/>
      <c r="T88" s="935"/>
      <c r="U88" s="935"/>
      <c r="V88" s="935"/>
      <c r="W88" s="935"/>
      <c r="X88" s="987"/>
      <c r="Y88" s="215">
        <f>242339.901</f>
        <v>242339.90100000001</v>
      </c>
      <c r="Z88" s="198"/>
      <c r="AA88" s="199"/>
      <c r="AB88" s="248">
        <f>242339.901</f>
        <v>242339.90100000001</v>
      </c>
      <c r="AE88" s="216">
        <f>Y88/Y116</f>
        <v>0.17391304344705907</v>
      </c>
    </row>
    <row r="89" spans="1:31" ht="25.5" customHeight="1">
      <c r="A89" s="241" t="s">
        <v>663</v>
      </c>
      <c r="B89" s="1007" t="s">
        <v>664</v>
      </c>
      <c r="C89" s="935"/>
      <c r="D89" s="935"/>
      <c r="E89" s="935"/>
      <c r="F89" s="935"/>
      <c r="G89" s="935"/>
      <c r="H89" s="935"/>
      <c r="I89" s="935"/>
      <c r="J89" s="935"/>
      <c r="K89" s="935"/>
      <c r="L89" s="935"/>
      <c r="M89" s="935"/>
      <c r="N89" s="958"/>
      <c r="O89" s="191"/>
      <c r="P89" s="191"/>
      <c r="Q89" s="191"/>
      <c r="R89" s="191"/>
      <c r="S89" s="191"/>
      <c r="T89" s="191"/>
      <c r="U89" s="191"/>
      <c r="V89" s="191"/>
      <c r="W89" s="210"/>
      <c r="X89" s="211"/>
      <c r="Y89" s="202"/>
      <c r="Z89" s="198"/>
      <c r="AA89" s="249"/>
      <c r="AB89" s="250"/>
      <c r="AC89" s="250"/>
      <c r="AD89" s="250"/>
      <c r="AE89" s="250"/>
    </row>
    <row r="90" spans="1:31" ht="63" customHeight="1">
      <c r="A90" s="210" t="s">
        <v>665</v>
      </c>
      <c r="B90" s="190" t="str">
        <f ca="1">IFERROR(__xludf.DUMMYFUNCTION("GOOGLETRANSLATE('Workplan year2'!B90,""en"",""fr"")"),"Basé sur les lacunes de capacité et le développement de soutien à une stratégie / plan de formation en mettant l'accent sur les fournisseurs de services climatiques et les utilisateurs")</f>
        <v>Basé sur les lacunes de capacité et le développement de soutien à une stratégie / plan de formation en mettant l'accent sur les fournisseurs de services climatiques et les utilisateurs</v>
      </c>
      <c r="C90" s="251"/>
      <c r="D90" s="251"/>
      <c r="E90" s="251"/>
      <c r="F90" s="251"/>
      <c r="G90" s="251"/>
      <c r="H90" s="251"/>
      <c r="I90" s="251"/>
      <c r="J90" s="251"/>
      <c r="K90" s="252"/>
      <c r="L90" s="252"/>
      <c r="M90" s="252"/>
      <c r="N90" s="252"/>
      <c r="O90" s="191"/>
      <c r="P90" s="191"/>
      <c r="Q90" s="191"/>
      <c r="R90" s="191"/>
      <c r="S90" s="191"/>
      <c r="T90" s="191"/>
      <c r="U90" s="191"/>
      <c r="V90" s="191"/>
      <c r="W90" s="210" t="s">
        <v>667</v>
      </c>
      <c r="X90" s="211" t="s">
        <v>668</v>
      </c>
      <c r="Y90" s="202"/>
      <c r="Z90" s="198"/>
      <c r="AA90" s="199"/>
      <c r="AE90" s="196"/>
    </row>
    <row r="91" spans="1:31" ht="76.5" customHeight="1">
      <c r="A91" s="210" t="s">
        <v>669</v>
      </c>
      <c r="B91" s="190" t="str">
        <f ca="1">IFERROR(__xludf.DUMMYFUNCTION("GOOGLETRANSLATE('Workplan year2'!B91,""en"",""fr"")")," fournir du matériel de formation, dispenser des cours sur le travail, dans des ateliers, des stages à ciel")</f>
        <v xml:space="preserve"> fournir du matériel de formation, dispenser des cours sur le travail, dans des ateliers, des stages à ciel</v>
      </c>
      <c r="C91" s="251"/>
      <c r="D91" s="251"/>
      <c r="E91" s="251"/>
      <c r="F91" s="251"/>
      <c r="G91" s="251"/>
      <c r="H91" s="251"/>
      <c r="I91" s="251"/>
      <c r="J91" s="251"/>
      <c r="K91" s="251"/>
      <c r="L91" s="251"/>
      <c r="M91" s="251"/>
      <c r="N91" s="251"/>
      <c r="O91" s="191"/>
      <c r="P91" s="191"/>
      <c r="Q91" s="191"/>
      <c r="R91" s="191"/>
      <c r="S91" s="191"/>
      <c r="T91" s="191"/>
      <c r="U91" s="191"/>
      <c r="V91" s="191"/>
      <c r="W91" s="210" t="s">
        <v>472</v>
      </c>
      <c r="X91" s="211" t="s">
        <v>671</v>
      </c>
      <c r="Y91" s="202"/>
      <c r="Z91" s="198"/>
      <c r="AA91" s="199"/>
      <c r="AE91" s="196"/>
    </row>
    <row r="92" spans="1:31" ht="90" customHeight="1">
      <c r="A92" s="210" t="s">
        <v>672</v>
      </c>
      <c r="B92" s="190" t="str">
        <f ca="1">IFERROR(__xludf.DUMMYFUNCTION("GOOGLETRANSLATE('Workplan year2'!B92,""en"",""fr"")"),"Aider par la formation et le développement des compétences pour ECCAS /, CECEAS, SADC, IGAD; IOC, UMA sur la gestion des données, la surveillance du climat, les prévisions à longue portée, les scénarios climatiques, la prestation de services avec des évén"&amp;"ements tels que les COF")</f>
        <v>Aider par la formation et le développement des compétences pour ECCAS /, CECEAS, SADC, IGAD; IOC, UMA sur la gestion des données, la surveillance du climat, les prévisions à longue portée, les scénarios climatiques, la prestation de services avec des événements tels que les COF</v>
      </c>
      <c r="C92" s="191"/>
      <c r="D92" s="251"/>
      <c r="E92" s="251"/>
      <c r="F92" s="251"/>
      <c r="G92" s="251"/>
      <c r="H92" s="251"/>
      <c r="I92" s="251"/>
      <c r="J92" s="251"/>
      <c r="K92" s="251"/>
      <c r="L92" s="251"/>
      <c r="M92" s="251"/>
      <c r="N92" s="251"/>
      <c r="O92" s="191"/>
      <c r="P92" s="191"/>
      <c r="Q92" s="191"/>
      <c r="R92" s="191"/>
      <c r="S92" s="191"/>
      <c r="T92" s="191"/>
      <c r="U92" s="191"/>
      <c r="V92" s="191"/>
      <c r="W92" s="210" t="s">
        <v>472</v>
      </c>
      <c r="X92" s="211" t="s">
        <v>674</v>
      </c>
      <c r="Y92" s="202"/>
      <c r="Z92" s="198"/>
      <c r="AA92" s="199"/>
      <c r="AE92" s="196"/>
    </row>
    <row r="93" spans="1:31" ht="21.75" customHeight="1">
      <c r="A93" s="241" t="s">
        <v>675</v>
      </c>
      <c r="B93" s="1009" t="str">
        <f ca="1">IFERROR(__xludf.DUMMYFUNCTION("GOOGLETRANSLATE('Workplan year2'!B93,""en"",""fr"")"),"Activité 4.2 Participer à l'intra ACP Climsa chaque année pour un")</f>
        <v>Activité 4.2 Participer à l'intra ACP Climsa chaque année pour un</v>
      </c>
      <c r="C93" s="935"/>
      <c r="D93" s="935"/>
      <c r="E93" s="935"/>
      <c r="F93" s="935"/>
      <c r="G93" s="935"/>
      <c r="H93" s="935"/>
      <c r="I93" s="935"/>
      <c r="J93" s="935"/>
      <c r="K93" s="935"/>
      <c r="L93" s="935"/>
      <c r="M93" s="935"/>
      <c r="N93" s="958"/>
      <c r="O93" s="191"/>
      <c r="P93" s="191"/>
      <c r="Q93" s="191"/>
      <c r="R93" s="191"/>
      <c r="S93" s="191"/>
      <c r="T93" s="191"/>
      <c r="U93" s="191"/>
      <c r="V93" s="191"/>
      <c r="W93" s="210"/>
      <c r="X93" s="211"/>
      <c r="Y93" s="202"/>
      <c r="Z93" s="198"/>
      <c r="AA93" s="199"/>
      <c r="AE93" s="196"/>
    </row>
    <row r="94" spans="1:31" ht="57" customHeight="1">
      <c r="A94" s="210" t="s">
        <v>677</v>
      </c>
      <c r="B94" s="190" t="str">
        <f ca="1">IFERROR(__xludf.DUMMYFUNCTION("GOOGLETRANSLATE('Workplan year2'!B94,""en"",""fr"")"),"Partagez l'expérience et les résultats, discutez des faiblesses sur les services climatiques avec les utilisateurs, soyez conscient des nouvelles technologies et produits")</f>
        <v>Partagez l'expérience et les résultats, discutez des faiblesses sur les services climatiques avec les utilisateurs, soyez conscient des nouvelles technologies et produits</v>
      </c>
      <c r="C94" s="191"/>
      <c r="D94" s="191"/>
      <c r="E94" s="191"/>
      <c r="F94" s="251"/>
      <c r="G94" s="251"/>
      <c r="H94" s="251"/>
      <c r="I94" s="251"/>
      <c r="J94" s="251"/>
      <c r="K94" s="251"/>
      <c r="L94" s="252"/>
      <c r="M94" s="252"/>
      <c r="N94" s="251"/>
      <c r="O94" s="191"/>
      <c r="P94" s="191"/>
      <c r="Q94" s="191"/>
      <c r="R94" s="191"/>
      <c r="S94" s="191"/>
      <c r="T94" s="191"/>
      <c r="U94" s="191"/>
      <c r="V94" s="191"/>
      <c r="W94" s="210" t="s">
        <v>472</v>
      </c>
      <c r="X94" s="211" t="s">
        <v>679</v>
      </c>
      <c r="Y94" s="202"/>
      <c r="Z94" s="198"/>
      <c r="AA94" s="199"/>
      <c r="AE94" s="196"/>
    </row>
    <row r="95" spans="1:31" ht="21.75" customHeight="1">
      <c r="A95" s="241" t="s">
        <v>680</v>
      </c>
      <c r="B95" s="996" t="str">
        <f ca="1">IFERROR(__xludf.DUMMYFUNCTION("GOOGLETRANSLATE('Workplan year2'!B95,""en"",""fr"")"),"Activité 4.3 Contribuer à un portail d'information dédié pour le programme")</f>
        <v>Activité 4.3 Contribuer à un portail d'information dédié pour le programme</v>
      </c>
      <c r="C95" s="935"/>
      <c r="D95" s="935"/>
      <c r="E95" s="935"/>
      <c r="F95" s="935"/>
      <c r="G95" s="935"/>
      <c r="H95" s="935"/>
      <c r="I95" s="935"/>
      <c r="J95" s="935"/>
      <c r="K95" s="935"/>
      <c r="L95" s="935"/>
      <c r="M95" s="935"/>
      <c r="N95" s="958"/>
      <c r="O95" s="191"/>
      <c r="P95" s="191"/>
      <c r="Q95" s="191"/>
      <c r="R95" s="191"/>
      <c r="S95" s="191"/>
      <c r="T95" s="191"/>
      <c r="U95" s="191"/>
      <c r="V95" s="191"/>
      <c r="W95" s="210"/>
      <c r="X95" s="211"/>
      <c r="Y95" s="202"/>
      <c r="Z95" s="198"/>
      <c r="AA95" s="199"/>
      <c r="AE95" s="196"/>
    </row>
    <row r="96" spans="1:31" ht="98.25" customHeight="1">
      <c r="A96" s="210" t="s">
        <v>682</v>
      </c>
      <c r="B96" s="190" t="str">
        <f ca="1">IFERROR(__xludf.DUMMYFUNCTION("GOOGLETRANSLATE('Workplan year2'!B96,""en"",""fr"")"),"Contribuer à la conception du portail d'informations sur le climat et au développement de contenu pour les meilleures pratiques, les méthodes sur mesure, les outils, le partage de produits entre les régions en établissant un portail ACMAD connexe avec un "&amp;"contenu pertinent connecté au Secrétariat de l'OACPS")</f>
        <v>Contribuer à la conception du portail d'informations sur le climat et au développement de contenu pour les meilleures pratiques, les méthodes sur mesure, les outils, le partage de produits entre les régions en établissant un portail ACMAD connexe avec un contenu pertinent connecté au Secrétariat de l'OACPS</v>
      </c>
      <c r="C96" s="191"/>
      <c r="D96" s="191"/>
      <c r="E96" s="191"/>
      <c r="F96" s="251"/>
      <c r="G96" s="251"/>
      <c r="H96" s="251"/>
      <c r="I96" s="251"/>
      <c r="J96" s="251"/>
      <c r="K96" s="251"/>
      <c r="L96" s="252"/>
      <c r="M96" s="252"/>
      <c r="N96" s="252"/>
      <c r="O96" s="191"/>
      <c r="P96" s="191"/>
      <c r="Q96" s="191"/>
      <c r="R96" s="191"/>
      <c r="S96" s="191"/>
      <c r="T96" s="191"/>
      <c r="U96" s="191"/>
      <c r="V96" s="191"/>
      <c r="W96" s="210" t="s">
        <v>679</v>
      </c>
      <c r="X96" s="211" t="s">
        <v>472</v>
      </c>
      <c r="Y96" s="202"/>
      <c r="Z96" s="198"/>
      <c r="AA96" s="199"/>
      <c r="AE96" s="196"/>
    </row>
    <row r="97" spans="1:31" ht="88.5" hidden="1" customHeight="1">
      <c r="A97" s="210"/>
      <c r="B97" s="190"/>
      <c r="C97" s="191"/>
      <c r="D97" s="191"/>
      <c r="E97" s="191"/>
      <c r="F97" s="191"/>
      <c r="G97" s="191"/>
      <c r="H97" s="252"/>
      <c r="I97" s="191"/>
      <c r="J97" s="191"/>
      <c r="K97" s="191"/>
      <c r="L97" s="191"/>
      <c r="M97" s="191"/>
      <c r="N97" s="191"/>
      <c r="O97" s="191"/>
      <c r="P97" s="191"/>
      <c r="Q97" s="191"/>
      <c r="R97" s="191"/>
      <c r="S97" s="191"/>
      <c r="T97" s="191"/>
      <c r="U97" s="191"/>
      <c r="V97" s="191"/>
      <c r="W97" s="210"/>
      <c r="X97" s="211"/>
      <c r="Y97" s="202"/>
      <c r="Z97" s="198"/>
      <c r="AA97" s="199"/>
      <c r="AE97" s="196"/>
    </row>
    <row r="98" spans="1:31" ht="25.5" customHeight="1">
      <c r="A98" s="210" t="s">
        <v>684</v>
      </c>
      <c r="B98" s="191" t="str">
        <f ca="1">IFERROR(__xludf.DUMMYFUNCTION("GOOGLETRANSLATE('Workplan year2'!B98,""en"",""fr"")"),"Activité 4.4. Master Schorarship
")</f>
        <v xml:space="preserve">Activité 4.4. Master Schorarship
</v>
      </c>
      <c r="C98" s="191"/>
      <c r="D98" s="191"/>
      <c r="E98" s="191"/>
      <c r="F98" s="191"/>
      <c r="G98" s="191"/>
      <c r="H98" s="217"/>
      <c r="I98" s="217"/>
      <c r="J98" s="217"/>
      <c r="K98" s="217"/>
      <c r="L98" s="252"/>
      <c r="M98" s="252"/>
      <c r="N98" s="252"/>
      <c r="O98" s="252"/>
      <c r="P98" s="252"/>
      <c r="Q98" s="252"/>
      <c r="R98" s="252"/>
      <c r="S98" s="252"/>
      <c r="T98" s="252"/>
      <c r="U98" s="252"/>
      <c r="V98" s="252"/>
      <c r="W98" s="220"/>
      <c r="X98" s="211"/>
      <c r="Y98" s="202"/>
      <c r="Z98" s="198"/>
      <c r="AA98" s="199"/>
      <c r="AE98" s="196"/>
    </row>
    <row r="99" spans="1:31" ht="56.25" customHeight="1">
      <c r="A99" s="210" t="s">
        <v>686</v>
      </c>
      <c r="B99" s="190" t="str">
        <f ca="1">IFERROR(__xludf.DUMMYFUNCTION("GOOGLETRANSLATE('Workplan year2'!B99,""en"",""fr"")"),"Identifier et motiver les étudiants et les jeunes professionnels à travers l'Afrique avec des thèmes difficiles de la chaîne de valeur du service climatique")</f>
        <v>Identifier et motiver les étudiants et les jeunes professionnels à travers l'Afrique avec des thèmes difficiles de la chaîne de valeur du service climatique</v>
      </c>
      <c r="C99" s="191"/>
      <c r="D99" s="251"/>
      <c r="E99" s="251"/>
      <c r="F99" s="251"/>
      <c r="G99" s="251"/>
      <c r="H99" s="209"/>
      <c r="I99" s="209"/>
      <c r="J99" s="209"/>
      <c r="K99" s="209"/>
      <c r="L99" s="251"/>
      <c r="M99" s="252"/>
      <c r="N99" s="252"/>
      <c r="O99" s="252"/>
      <c r="P99" s="252"/>
      <c r="Q99" s="252"/>
      <c r="R99" s="252"/>
      <c r="S99" s="252"/>
      <c r="T99" s="252"/>
      <c r="U99" s="252"/>
      <c r="V99" s="252"/>
      <c r="W99" s="220" t="s">
        <v>472</v>
      </c>
      <c r="X99" s="211" t="s">
        <v>688</v>
      </c>
      <c r="Y99" s="202"/>
      <c r="Z99" s="198"/>
      <c r="AA99" s="199"/>
      <c r="AE99" s="196"/>
    </row>
    <row r="100" spans="1:31" ht="50.25" customHeight="1">
      <c r="A100" s="210" t="s">
        <v>689</v>
      </c>
      <c r="B100" s="190" t="str">
        <f ca="1">IFERROR(__xludf.DUMMYFUNCTION("GOOGLETRANSLATE('Workplan year2'!B100,""en"",""fr"")"),"Mobiliser les experts de la chaîne de valeur du service climatique et se connecter avec les opportunités de formation dans la région ACP, SSIST pour développer et utiliser des critères pour la sélection des étudiants")</f>
        <v>Mobiliser les experts de la chaîne de valeur du service climatique et se connecter avec les opportunités de formation dans la région ACP, SSIST pour développer et utiliser des critères pour la sélection des étudiants</v>
      </c>
      <c r="C100" s="251"/>
      <c r="D100" s="251"/>
      <c r="E100" s="251"/>
      <c r="F100" s="251"/>
      <c r="G100" s="251"/>
      <c r="H100" s="209"/>
      <c r="I100" s="209"/>
      <c r="J100" s="209"/>
      <c r="K100" s="209"/>
      <c r="L100" s="251"/>
      <c r="M100" s="251"/>
      <c r="N100" s="252"/>
      <c r="O100" s="252"/>
      <c r="P100" s="252"/>
      <c r="Q100" s="252"/>
      <c r="R100" s="252"/>
      <c r="S100" s="252"/>
      <c r="T100" s="252"/>
      <c r="U100" s="252"/>
      <c r="V100" s="252"/>
      <c r="W100" s="220" t="s">
        <v>472</v>
      </c>
      <c r="X100" s="211" t="s">
        <v>688</v>
      </c>
      <c r="Y100" s="202"/>
      <c r="Z100" s="198"/>
      <c r="AA100" s="199"/>
      <c r="AE100" s="196"/>
    </row>
    <row r="101" spans="1:31" ht="54" customHeight="1">
      <c r="A101" s="210" t="s">
        <v>691</v>
      </c>
      <c r="B101" s="190" t="str">
        <f ca="1">IFERROR(__xludf.DUMMYFUNCTION("GOOGLETRANSLATE('Workplan year2'!B101,""en"",""fr"")"),"Fournir une assistance technique pour la mise en œuvre de la stratégie de formation par le mentorat des étudiants
")</f>
        <v xml:space="preserve">Fournir une assistance technique pour la mise en œuvre de la stratégie de formation par le mentorat des étudiants
</v>
      </c>
      <c r="C101" s="251"/>
      <c r="D101" s="251"/>
      <c r="E101" s="251"/>
      <c r="F101" s="251"/>
      <c r="G101" s="251"/>
      <c r="H101" s="209"/>
      <c r="I101" s="209"/>
      <c r="J101" s="209"/>
      <c r="K101" s="209"/>
      <c r="L101" s="251"/>
      <c r="M101" s="251"/>
      <c r="N101" s="251"/>
      <c r="O101" s="252"/>
      <c r="P101" s="252"/>
      <c r="Q101" s="252"/>
      <c r="R101" s="252"/>
      <c r="S101" s="252"/>
      <c r="T101" s="252"/>
      <c r="U101" s="252"/>
      <c r="V101" s="252"/>
      <c r="W101" s="220" t="s">
        <v>472</v>
      </c>
      <c r="X101" s="211" t="s">
        <v>688</v>
      </c>
      <c r="Y101" s="202"/>
      <c r="Z101" s="198"/>
      <c r="AA101" s="199"/>
      <c r="AE101" s="196"/>
    </row>
    <row r="102" spans="1:31" ht="33" customHeight="1">
      <c r="A102" s="210"/>
      <c r="B102" s="992" t="str">
        <f ca="1">IFERROR(__xludf.DUMMYFUNCTION("GOOGLETRANSLATE('Workplan year2'!B102,""en"",""fr"")"),"                                             Sortie 5: Amélioration de la décision et de l'élaboration des politiques sur le climat en Afrique")</f>
        <v xml:space="preserve">                                             Sortie 5: Amélioration de la décision et de l'élaboration des politiques sur le climat en Afrique</v>
      </c>
      <c r="C102" s="935"/>
      <c r="D102" s="935"/>
      <c r="E102" s="935"/>
      <c r="F102" s="935"/>
      <c r="G102" s="935"/>
      <c r="H102" s="935"/>
      <c r="I102" s="935"/>
      <c r="J102" s="935"/>
      <c r="K102" s="935"/>
      <c r="L102" s="935"/>
      <c r="M102" s="935"/>
      <c r="N102" s="935"/>
      <c r="O102" s="935"/>
      <c r="P102" s="935"/>
      <c r="Q102" s="935"/>
      <c r="R102" s="935"/>
      <c r="S102" s="935"/>
      <c r="T102" s="935"/>
      <c r="U102" s="935"/>
      <c r="V102" s="935"/>
      <c r="W102" s="935"/>
      <c r="X102" s="987"/>
      <c r="Y102" s="245">
        <f>181754.926</f>
        <v>181754.92600000001</v>
      </c>
      <c r="Z102" s="198"/>
      <c r="AA102" s="199"/>
      <c r="AB102" s="196">
        <f>181754.926</f>
        <v>181754.92600000001</v>
      </c>
      <c r="AC102" s="196"/>
      <c r="AD102" s="196"/>
      <c r="AE102" s="216">
        <f>Y102/Y116</f>
        <v>0.13043478276470455</v>
      </c>
    </row>
    <row r="103" spans="1:31" ht="32.25" customHeight="1">
      <c r="A103" s="210" t="s">
        <v>694</v>
      </c>
      <c r="B103" s="1007" t="s">
        <v>695</v>
      </c>
      <c r="C103" s="935"/>
      <c r="D103" s="935"/>
      <c r="E103" s="935"/>
      <c r="F103" s="935"/>
      <c r="G103" s="935"/>
      <c r="H103" s="935"/>
      <c r="I103" s="935"/>
      <c r="J103" s="935"/>
      <c r="K103" s="935"/>
      <c r="L103" s="935"/>
      <c r="M103" s="935"/>
      <c r="N103" s="958"/>
      <c r="O103" s="254"/>
      <c r="P103" s="254"/>
      <c r="Q103" s="254"/>
      <c r="R103" s="254"/>
      <c r="S103" s="254"/>
      <c r="T103" s="254"/>
      <c r="U103" s="254"/>
      <c r="V103" s="254"/>
      <c r="W103" s="210"/>
      <c r="X103" s="211"/>
      <c r="Y103" s="202"/>
      <c r="Z103" s="198"/>
      <c r="AA103" s="199"/>
      <c r="AB103" s="196"/>
      <c r="AC103" s="196"/>
      <c r="AD103" s="196"/>
      <c r="AE103" s="196"/>
    </row>
    <row r="104" spans="1:31" ht="27.75" customHeight="1">
      <c r="A104" s="210" t="s">
        <v>696</v>
      </c>
      <c r="B104" s="240" t="str">
        <f ca="1">IFERROR(__xludf.DUMMYFUNCTION("GOOGLETRANSLATE('Workplan year2'!B104,""en"",""fr"")"),"Soutenir la préparation de la stratégie de communication et du plan de mise en œuvre")</f>
        <v>Soutenir la préparation de la stratégie de communication et du plan de mise en œuvre</v>
      </c>
      <c r="C104" s="254"/>
      <c r="D104" s="254"/>
      <c r="E104" s="255"/>
      <c r="F104" s="255"/>
      <c r="G104" s="255"/>
      <c r="H104" s="255"/>
      <c r="I104" s="255"/>
      <c r="J104" s="255"/>
      <c r="K104" s="255"/>
      <c r="L104" s="255"/>
      <c r="M104" s="254"/>
      <c r="N104" s="254"/>
      <c r="O104" s="254"/>
      <c r="P104" s="254"/>
      <c r="Q104" s="254"/>
      <c r="R104" s="254"/>
      <c r="S104" s="254"/>
      <c r="T104" s="254"/>
      <c r="U104" s="254"/>
      <c r="V104" s="254"/>
      <c r="W104" s="210" t="s">
        <v>472</v>
      </c>
      <c r="X104" s="211" t="s">
        <v>698</v>
      </c>
      <c r="Y104" s="202"/>
      <c r="Z104" s="198"/>
      <c r="AA104" s="199"/>
      <c r="AB104" s="196"/>
      <c r="AC104" s="196"/>
      <c r="AD104" s="196"/>
      <c r="AE104" s="196"/>
    </row>
    <row r="105" spans="1:31" ht="69" customHeight="1">
      <c r="A105" s="210" t="s">
        <v>699</v>
      </c>
      <c r="B105" s="240" t="str">
        <f ca="1">IFERROR(__xludf.DUMMYFUNCTION("GOOGLETRANSLATE('Workplan year2'!B105,""en"",""fr"")"),"Préparer des déclarations pour les événements politiques, les FORA et les conseils techniques aux organes de l'AUC, fournissent des documents de sensibilisation, de visibilité et de communication pour la sensibilisation")</f>
        <v>Préparer des déclarations pour les événements politiques, les FORA et les conseils techniques aux organes de l'AUC, fournissent des documents de sensibilisation, de visibilité et de communication pour la sensibilisation</v>
      </c>
      <c r="C105" s="254"/>
      <c r="D105" s="254"/>
      <c r="E105" s="255"/>
      <c r="F105" s="255"/>
      <c r="G105" s="255"/>
      <c r="H105" s="255"/>
      <c r="I105" s="255"/>
      <c r="J105" s="255"/>
      <c r="K105" s="254"/>
      <c r="L105" s="254"/>
      <c r="M105" s="255"/>
      <c r="N105" s="255"/>
      <c r="O105" s="254"/>
      <c r="P105" s="254"/>
      <c r="Q105" s="254"/>
      <c r="R105" s="254"/>
      <c r="S105" s="254"/>
      <c r="T105" s="254"/>
      <c r="U105" s="254"/>
      <c r="V105" s="254"/>
      <c r="W105" s="210" t="s">
        <v>472</v>
      </c>
      <c r="X105" s="211" t="s">
        <v>483</v>
      </c>
      <c r="Y105" s="202"/>
      <c r="Z105" s="198"/>
      <c r="AA105" s="199"/>
      <c r="AB105" s="196"/>
      <c r="AC105" s="196"/>
      <c r="AD105" s="196"/>
      <c r="AE105" s="196"/>
    </row>
    <row r="106" spans="1:31" ht="36.75" customHeight="1">
      <c r="A106" s="210" t="s">
        <v>701</v>
      </c>
      <c r="B106" s="240" t="str">
        <f ca="1">IFERROR(__xludf.DUMMYFUNCTION("GOOGLETRANSLATE('Workplan year2'!B106,""en"",""fr"")"),"Développer, mettre à jour le portail d'informations et développer de nouveaux contenus")</f>
        <v>Développer, mettre à jour le portail d'informations et développer de nouveaux contenus</v>
      </c>
      <c r="C106" s="254"/>
      <c r="D106" s="254"/>
      <c r="E106" s="255"/>
      <c r="F106" s="255"/>
      <c r="G106" s="255"/>
      <c r="H106" s="255"/>
      <c r="I106" s="255"/>
      <c r="J106" s="255"/>
      <c r="K106" s="255"/>
      <c r="L106" s="255"/>
      <c r="M106" s="254"/>
      <c r="N106" s="255"/>
      <c r="O106" s="254"/>
      <c r="P106" s="254"/>
      <c r="Q106" s="254"/>
      <c r="R106" s="254"/>
      <c r="S106" s="254"/>
      <c r="T106" s="254"/>
      <c r="U106" s="254"/>
      <c r="V106" s="254"/>
      <c r="W106" s="210" t="s">
        <v>472</v>
      </c>
      <c r="X106" s="211" t="s">
        <v>703</v>
      </c>
      <c r="Y106" s="202"/>
      <c r="Z106" s="198"/>
      <c r="AA106" s="199"/>
      <c r="AB106" s="196"/>
      <c r="AC106" s="196"/>
      <c r="AD106" s="196"/>
      <c r="AE106" s="196"/>
    </row>
    <row r="107" spans="1:31" ht="51" customHeight="1">
      <c r="A107" s="210" t="s">
        <v>704</v>
      </c>
      <c r="B107" s="240" t="str">
        <f ca="1">IFERROR(__xludf.DUMMYFUNCTION("GOOGLETRANSLATE('Workplan year2'!B107,""en"",""fr"")"),"Organiser des événements chez les flics, les forums DRR, la santé, les futurs d'adaptation, l'agriculture, les forums humanitaires et les conférences")</f>
        <v>Organiser des événements chez les flics, les forums DRR, la santé, les futurs d'adaptation, l'agriculture, les forums humanitaires et les conférences</v>
      </c>
      <c r="C107" s="254"/>
      <c r="D107" s="255"/>
      <c r="E107" s="255"/>
      <c r="F107" s="255"/>
      <c r="G107" s="255"/>
      <c r="H107" s="255"/>
      <c r="I107" s="255"/>
      <c r="J107" s="255"/>
      <c r="K107" s="255"/>
      <c r="L107" s="254"/>
      <c r="M107" s="254"/>
      <c r="N107" s="255"/>
      <c r="O107" s="254"/>
      <c r="P107" s="254"/>
      <c r="Q107" s="254"/>
      <c r="R107" s="254"/>
      <c r="S107" s="254"/>
      <c r="T107" s="254"/>
      <c r="U107" s="254"/>
      <c r="V107" s="254"/>
      <c r="W107" s="210" t="s">
        <v>472</v>
      </c>
      <c r="X107" s="211" t="s">
        <v>698</v>
      </c>
      <c r="Y107" s="202"/>
      <c r="Z107" s="198"/>
      <c r="AA107" s="199"/>
      <c r="AB107" s="196"/>
      <c r="AC107" s="196"/>
      <c r="AD107" s="196"/>
      <c r="AE107" s="196"/>
    </row>
    <row r="108" spans="1:31" ht="26.25" customHeight="1">
      <c r="A108" s="210" t="s">
        <v>706</v>
      </c>
      <c r="B108" s="1009" t="str">
        <f ca="1">IFERROR(__xludf.DUMMYFUNCTION("GOOGLETRANSLATE('Workplan year2'!B108,""en"",""fr"")"),"Activité 5.2. Les services climatiques traditionnels dans les politiques et les programmes.")</f>
        <v>Activité 5.2. Les services climatiques traditionnels dans les politiques et les programmes.</v>
      </c>
      <c r="C108" s="935"/>
      <c r="D108" s="935"/>
      <c r="E108" s="935"/>
      <c r="F108" s="935"/>
      <c r="G108" s="935"/>
      <c r="H108" s="935"/>
      <c r="I108" s="935"/>
      <c r="J108" s="935"/>
      <c r="K108" s="935"/>
      <c r="L108" s="935"/>
      <c r="M108" s="935"/>
      <c r="N108" s="958"/>
      <c r="O108" s="254"/>
      <c r="P108" s="254"/>
      <c r="Q108" s="254"/>
      <c r="R108" s="254"/>
      <c r="S108" s="254"/>
      <c r="T108" s="254"/>
      <c r="U108" s="254"/>
      <c r="V108" s="254"/>
      <c r="W108" s="210"/>
      <c r="X108" s="211"/>
      <c r="Y108" s="202"/>
      <c r="Z108" s="198"/>
      <c r="AA108" s="199"/>
      <c r="AB108" s="196"/>
      <c r="AC108" s="196"/>
      <c r="AD108" s="196"/>
      <c r="AE108" s="196"/>
    </row>
    <row r="109" spans="1:31" ht="53.25" customHeight="1">
      <c r="A109" s="210" t="s">
        <v>708</v>
      </c>
      <c r="B109" s="240" t="str">
        <f ca="1">IFERROR(__xludf.DUMMYFUNCTION("GOOGLETRANSLATE('Workplan year2'!B109,""en"",""fr"")"),"Organisez des réunions, des consultations et des dialogues pour renforcer l'interface de planification du climat et du développement avec l'ASC et l'UNECA")</f>
        <v>Organisez des réunions, des consultations et des dialogues pour renforcer l'interface de planification du climat et du développement avec l'ASC et l'UNECA</v>
      </c>
      <c r="C109" s="254"/>
      <c r="D109" s="254"/>
      <c r="E109" s="254"/>
      <c r="F109" s="255"/>
      <c r="G109" s="255"/>
      <c r="H109" s="255"/>
      <c r="I109" s="255"/>
      <c r="J109" s="255"/>
      <c r="K109" s="255"/>
      <c r="L109" s="209"/>
      <c r="M109" s="217"/>
      <c r="N109" s="209"/>
      <c r="O109" s="254"/>
      <c r="P109" s="254"/>
      <c r="Q109" s="254"/>
      <c r="R109" s="254"/>
      <c r="S109" s="254"/>
      <c r="T109" s="254"/>
      <c r="U109" s="254"/>
      <c r="V109" s="254"/>
      <c r="W109" s="210" t="s">
        <v>472</v>
      </c>
      <c r="X109" s="211" t="s">
        <v>710</v>
      </c>
      <c r="Y109" s="202"/>
      <c r="Z109" s="198"/>
      <c r="AA109" s="199"/>
      <c r="AB109" s="196"/>
      <c r="AC109" s="196"/>
      <c r="AD109" s="196"/>
      <c r="AE109" s="196"/>
    </row>
    <row r="110" spans="1:31" ht="78.75" customHeight="1">
      <c r="A110" s="210" t="s">
        <v>711</v>
      </c>
      <c r="B110" s="240" t="str">
        <f ca="1">IFERROR(__xludf.DUMMYFUNCTION("GOOGLETRANSLATE('Workplan year2'!B110,""en"",""fr"")"),"Organisez des réunions pour partager le contenu et mettre à jour le document d'orientation de l'UNECA pour la planification du développement, ce qui a conduit à intégrer les préoccupations climatiques dans les conseils")</f>
        <v>Organisez des réunions pour partager le contenu et mettre à jour le document d'orientation de l'UNECA pour la planification du développement, ce qui a conduit à intégrer les préoccupations climatiques dans les conseils</v>
      </c>
      <c r="C110" s="254"/>
      <c r="D110" s="254"/>
      <c r="E110" s="254"/>
      <c r="F110" s="254"/>
      <c r="G110" s="254"/>
      <c r="H110" s="254"/>
      <c r="I110" s="254"/>
      <c r="J110" s="254"/>
      <c r="K110" s="254"/>
      <c r="L110" s="209"/>
      <c r="M110" s="209"/>
      <c r="N110" s="209"/>
      <c r="O110" s="254"/>
      <c r="P110" s="254"/>
      <c r="Q110" s="254"/>
      <c r="R110" s="254"/>
      <c r="S110" s="254"/>
      <c r="T110" s="254"/>
      <c r="U110" s="254"/>
      <c r="V110" s="254"/>
      <c r="W110" s="210" t="s">
        <v>472</v>
      </c>
      <c r="X110" s="211" t="s">
        <v>713</v>
      </c>
      <c r="Y110" s="202"/>
      <c r="Z110" s="198"/>
      <c r="AA110" s="199"/>
      <c r="AB110" s="196"/>
      <c r="AC110" s="196"/>
      <c r="AD110" s="196"/>
      <c r="AE110" s="196"/>
    </row>
    <row r="111" spans="1:31" ht="68.25" customHeight="1">
      <c r="A111" s="210" t="s">
        <v>714</v>
      </c>
      <c r="B111" s="240" t="str">
        <f ca="1">IFERROR(__xludf.DUMMYFUNCTION("GOOGLETRANSLATE('Workplan year2'!B111,""en"",""fr"")"),"Train (avec atelier, sessions lors d'autres événements) sur l'utilisation des services climatiques pour la planification / la politique, cet effort pour exposer les planificateurs sur les directives disponibles.")</f>
        <v>Train (avec atelier, sessions lors d'autres événements) sur l'utilisation des services climatiques pour la planification / la politique, cet effort pour exposer les planificateurs sur les directives disponibles.</v>
      </c>
      <c r="C111" s="254"/>
      <c r="D111" s="254"/>
      <c r="E111" s="255"/>
      <c r="F111" s="255"/>
      <c r="G111" s="255"/>
      <c r="H111" s="255"/>
      <c r="I111" s="255"/>
      <c r="J111" s="254"/>
      <c r="K111" s="254"/>
      <c r="L111" s="217"/>
      <c r="M111" s="217"/>
      <c r="N111" s="209"/>
      <c r="O111" s="254"/>
      <c r="P111" s="254"/>
      <c r="Q111" s="254"/>
      <c r="R111" s="254"/>
      <c r="S111" s="254"/>
      <c r="T111" s="254"/>
      <c r="U111" s="254"/>
      <c r="V111" s="254"/>
      <c r="W111" s="210" t="s">
        <v>518</v>
      </c>
      <c r="X111" s="211" t="s">
        <v>713</v>
      </c>
      <c r="Y111" s="202"/>
      <c r="Z111" s="198"/>
      <c r="AA111" s="199"/>
      <c r="AB111" s="196"/>
      <c r="AC111" s="196"/>
      <c r="AD111" s="196"/>
      <c r="AE111" s="196"/>
    </row>
    <row r="112" spans="1:31" ht="34.5" customHeight="1">
      <c r="A112" s="210" t="s">
        <v>716</v>
      </c>
      <c r="B112" s="1007" t="s">
        <v>917</v>
      </c>
      <c r="C112" s="935"/>
      <c r="D112" s="935"/>
      <c r="E112" s="935"/>
      <c r="F112" s="935"/>
      <c r="G112" s="935"/>
      <c r="H112" s="935"/>
      <c r="I112" s="935"/>
      <c r="J112" s="935"/>
      <c r="K112" s="935"/>
      <c r="L112" s="935"/>
      <c r="M112" s="935"/>
      <c r="N112" s="958"/>
      <c r="O112" s="254"/>
      <c r="P112" s="254"/>
      <c r="Q112" s="254"/>
      <c r="R112" s="254"/>
      <c r="S112" s="254"/>
      <c r="T112" s="254"/>
      <c r="U112" s="254"/>
      <c r="V112" s="254"/>
      <c r="W112" s="210"/>
      <c r="X112" s="211"/>
      <c r="Y112" s="202"/>
      <c r="Z112" s="198"/>
      <c r="AA112" s="199"/>
      <c r="AB112" s="196"/>
      <c r="AC112" s="196"/>
      <c r="AD112" s="196"/>
      <c r="AE112" s="196"/>
    </row>
    <row r="113" spans="1:31" ht="40.5" customHeight="1">
      <c r="A113" s="210" t="s">
        <v>718</v>
      </c>
      <c r="B113" s="240" t="str">
        <f ca="1">IFERROR(__xludf.DUMMYFUNCTION("GOOGLETRANSLATE('Workplan year2'!B113,""en"",""fr"")"),"Rencontrer l'UNECA et d'autres partenaires pour partager les outils d'évaluation des impacts socio-économiques")</f>
        <v>Rencontrer l'UNECA et d'autres partenaires pour partager les outils d'évaluation des impacts socio-économiques</v>
      </c>
      <c r="C113" s="254"/>
      <c r="D113" s="254"/>
      <c r="E113" s="255"/>
      <c r="F113" s="255"/>
      <c r="G113" s="255"/>
      <c r="H113" s="255"/>
      <c r="I113" s="254"/>
      <c r="J113" s="254"/>
      <c r="K113" s="254"/>
      <c r="L113" s="217"/>
      <c r="M113" s="217"/>
      <c r="N113" s="209"/>
      <c r="O113" s="254"/>
      <c r="P113" s="254"/>
      <c r="Q113" s="254"/>
      <c r="R113" s="254"/>
      <c r="S113" s="254"/>
      <c r="T113" s="254"/>
      <c r="U113" s="254"/>
      <c r="V113" s="254"/>
      <c r="W113" s="210" t="s">
        <v>472</v>
      </c>
      <c r="X113" s="211" t="s">
        <v>720</v>
      </c>
      <c r="Y113" s="202"/>
      <c r="Z113" s="198"/>
      <c r="AA113" s="199"/>
      <c r="AB113" s="196"/>
      <c r="AC113" s="196"/>
      <c r="AD113" s="196"/>
      <c r="AE113" s="196"/>
    </row>
    <row r="114" spans="1:31" ht="91.5" customHeight="1">
      <c r="A114" s="210" t="s">
        <v>721</v>
      </c>
      <c r="B114" s="240" t="str">
        <f ca="1">IFERROR(__xludf.DUMMYFUNCTION("GOOGLETRANSLATE('Workplan year2'!B114,""en"",""fr"")"),"Préparer et diffuser les prévisions basées sur l'impact, démontrer le financement basé sur les prévisions, les sections de soutien dans l'état annuel du climat pour l'Afrique sur les pertes et les dommages")</f>
        <v>Préparer et diffuser les prévisions basées sur l'impact, démontrer le financement basé sur les prévisions, les sections de soutien dans l'état annuel du climat pour l'Afrique sur les pertes et les dommages</v>
      </c>
      <c r="C114" s="255"/>
      <c r="D114" s="255"/>
      <c r="E114" s="255"/>
      <c r="F114" s="254"/>
      <c r="G114" s="254"/>
      <c r="H114" s="254"/>
      <c r="I114" s="254"/>
      <c r="J114" s="254"/>
      <c r="K114" s="254"/>
      <c r="L114" s="209"/>
      <c r="M114" s="209"/>
      <c r="N114" s="209"/>
      <c r="O114" s="254"/>
      <c r="P114" s="254"/>
      <c r="Q114" s="254"/>
      <c r="R114" s="254"/>
      <c r="S114" s="254"/>
      <c r="T114" s="254"/>
      <c r="U114" s="254"/>
      <c r="V114" s="254"/>
      <c r="W114" s="210"/>
      <c r="X114" s="211"/>
      <c r="Y114" s="202"/>
      <c r="Z114" s="198"/>
      <c r="AA114" s="199"/>
      <c r="AB114" s="196"/>
      <c r="AC114" s="196"/>
      <c r="AD114" s="196"/>
      <c r="AE114" s="196"/>
    </row>
    <row r="115" spans="1:31" ht="68.25" customHeight="1">
      <c r="A115" s="210" t="s">
        <v>723</v>
      </c>
      <c r="B115" s="240" t="str">
        <f ca="1">IFERROR(__xludf.DUMMYFUNCTION("GOOGLETRANSLATE('Workplan year2'!B115,""en"",""fr"")"),"Organiser des séances pour partager et démontrer l'application des pertes et des outils d'évaluation des pertes")</f>
        <v>Organiser des séances pour partager et démontrer l'application des pertes et des outils d'évaluation des pertes</v>
      </c>
      <c r="C115" s="254"/>
      <c r="D115" s="256"/>
      <c r="E115" s="256"/>
      <c r="F115" s="256"/>
      <c r="G115" s="256"/>
      <c r="H115" s="256"/>
      <c r="I115" s="256"/>
      <c r="J115" s="256"/>
      <c r="K115" s="256"/>
      <c r="L115" s="217"/>
      <c r="M115" s="217"/>
      <c r="N115" s="209"/>
      <c r="O115" s="254"/>
      <c r="P115" s="254"/>
      <c r="Q115" s="254"/>
      <c r="R115" s="254"/>
      <c r="S115" s="254"/>
      <c r="T115" s="254"/>
      <c r="U115" s="254"/>
      <c r="V115" s="254"/>
      <c r="W115" s="210" t="s">
        <v>472</v>
      </c>
      <c r="X115" s="211" t="s">
        <v>720</v>
      </c>
      <c r="Y115" s="202"/>
      <c r="Z115" s="198"/>
      <c r="AA115" s="199"/>
      <c r="AB115" s="196"/>
      <c r="AC115" s="196"/>
      <c r="AD115" s="196"/>
      <c r="AE115" s="196"/>
    </row>
    <row r="116" spans="1:31" ht="15.75" customHeight="1">
      <c r="A116" s="980" t="str">
        <f ca="1">IFERROR(__xludf.DUMMYFUNCTION("GOOGLETRANSLATE('Workplan year2'!A116,""en"",""fr"")"),"  Budget total en euros")</f>
        <v xml:space="preserve">  Budget total en euros</v>
      </c>
      <c r="B116" s="958"/>
      <c r="C116" s="208"/>
      <c r="D116" s="208"/>
      <c r="E116" s="208"/>
      <c r="F116" s="208"/>
      <c r="G116" s="208"/>
      <c r="H116" s="208"/>
      <c r="I116" s="208"/>
      <c r="J116" s="208"/>
      <c r="K116" s="208"/>
      <c r="L116" s="208"/>
      <c r="M116" s="208"/>
      <c r="N116" s="208"/>
      <c r="O116" s="208"/>
      <c r="P116" s="208"/>
      <c r="Q116" s="208"/>
      <c r="R116" s="208"/>
      <c r="S116" s="208"/>
      <c r="T116" s="208"/>
      <c r="U116" s="208"/>
      <c r="V116" s="208"/>
      <c r="W116" s="210"/>
      <c r="X116" s="208"/>
      <c r="Y116" s="257">
        <f>(Y102+Y88+Y64+Y32+Y15)</f>
        <v>1393454.4310000001</v>
      </c>
      <c r="Z116" s="258"/>
      <c r="AA116" s="199"/>
      <c r="AB116" s="196"/>
      <c r="AC116" s="196"/>
      <c r="AD116" s="196"/>
      <c r="AE116" s="259"/>
    </row>
    <row r="117" spans="1:31" ht="15.75" customHeight="1">
      <c r="A117" s="249"/>
      <c r="B117" s="249"/>
      <c r="C117" s="199"/>
      <c r="D117" s="199"/>
      <c r="E117" s="199"/>
      <c r="F117" s="199"/>
      <c r="G117" s="199"/>
      <c r="H117" s="199"/>
      <c r="I117" s="199"/>
      <c r="J117" s="199"/>
      <c r="K117" s="199"/>
      <c r="L117" s="199"/>
      <c r="M117" s="199"/>
      <c r="N117" s="199"/>
      <c r="O117" s="199"/>
      <c r="P117" s="199"/>
      <c r="Q117" s="199"/>
      <c r="R117" s="199"/>
      <c r="S117" s="199"/>
      <c r="T117" s="199"/>
      <c r="U117" s="199"/>
      <c r="V117" s="199"/>
      <c r="W117" s="249"/>
      <c r="X117" s="199"/>
      <c r="Y117" s="198"/>
      <c r="Z117" s="198"/>
      <c r="AA117" s="199"/>
    </row>
    <row r="118" spans="1:31" ht="15.75" customHeight="1">
      <c r="A118" s="249"/>
      <c r="B118" s="249"/>
      <c r="C118" s="981"/>
      <c r="D118" s="942"/>
      <c r="E118" s="942"/>
      <c r="F118" s="942"/>
      <c r="G118" s="942"/>
      <c r="H118" s="942"/>
      <c r="I118" s="942"/>
      <c r="J118" s="942"/>
      <c r="K118" s="942"/>
      <c r="L118" s="942"/>
      <c r="M118" s="942"/>
      <c r="N118" s="942"/>
      <c r="O118" s="942"/>
      <c r="P118" s="942"/>
      <c r="Q118" s="942"/>
      <c r="R118" s="942"/>
      <c r="S118" s="942"/>
      <c r="T118" s="942"/>
      <c r="U118" s="942"/>
      <c r="V118" s="942"/>
      <c r="W118" s="249"/>
      <c r="X118" s="199"/>
      <c r="Y118" s="198"/>
      <c r="Z118" s="198"/>
      <c r="AA118" s="199"/>
    </row>
    <row r="119" spans="1:31" ht="15.75" customHeight="1">
      <c r="A119" s="250"/>
      <c r="B119" s="250"/>
      <c r="C119" s="260"/>
      <c r="W119" s="250"/>
      <c r="Y119" s="261"/>
      <c r="Z119" s="261"/>
    </row>
    <row r="120" spans="1:31" ht="15.75" customHeight="1">
      <c r="A120" s="250"/>
      <c r="B120" s="250"/>
      <c r="C120" s="982"/>
      <c r="D120" s="942"/>
      <c r="E120" s="942"/>
      <c r="F120" s="942"/>
      <c r="G120" s="942"/>
      <c r="H120" s="942"/>
      <c r="I120" s="942"/>
      <c r="J120" s="942"/>
      <c r="K120" s="942"/>
      <c r="L120" s="942"/>
      <c r="M120" s="942"/>
      <c r="N120" s="942"/>
      <c r="O120" s="942"/>
      <c r="P120" s="942"/>
      <c r="Q120" s="942"/>
      <c r="R120" s="942"/>
      <c r="S120" s="942"/>
      <c r="T120" s="942"/>
      <c r="U120" s="942"/>
      <c r="V120" s="942"/>
      <c r="W120" s="250"/>
      <c r="Y120" s="261"/>
      <c r="Z120" s="261"/>
    </row>
    <row r="121" spans="1:31" ht="15.75" customHeight="1">
      <c r="A121" s="250"/>
      <c r="B121" s="250"/>
      <c r="W121" s="250"/>
      <c r="Y121" s="261"/>
      <c r="Z121" s="261"/>
    </row>
    <row r="122" spans="1:31" ht="15.75" customHeight="1">
      <c r="A122" s="250"/>
      <c r="B122" s="250"/>
      <c r="W122" s="250"/>
    </row>
    <row r="123" spans="1:31" ht="15.75" customHeight="1">
      <c r="A123" s="250"/>
      <c r="B123" s="250"/>
      <c r="W123" s="250"/>
    </row>
    <row r="124" spans="1:31" ht="15.75" customHeight="1">
      <c r="A124" s="250"/>
      <c r="B124" s="250"/>
      <c r="W124" s="250"/>
    </row>
    <row r="125" spans="1:31" ht="15.75" customHeight="1">
      <c r="A125" s="250"/>
      <c r="B125" s="250"/>
      <c r="W125" s="250"/>
    </row>
    <row r="126" spans="1:31" ht="15.75" customHeight="1">
      <c r="A126" s="250"/>
      <c r="B126" s="250"/>
      <c r="W126" s="250"/>
    </row>
    <row r="127" spans="1:31" ht="15.75" customHeight="1">
      <c r="A127" s="250"/>
      <c r="B127" s="250"/>
      <c r="W127" s="250"/>
    </row>
    <row r="128" spans="1:31" ht="15.75" customHeight="1">
      <c r="A128" s="250"/>
      <c r="B128" s="250"/>
      <c r="W128" s="250"/>
    </row>
    <row r="129" spans="1:24" ht="15.75" customHeight="1">
      <c r="A129" s="250"/>
      <c r="B129" s="250"/>
      <c r="W129" s="250"/>
      <c r="X129" s="248" t="s">
        <v>449</v>
      </c>
    </row>
    <row r="130" spans="1:24" ht="15.75" customHeight="1">
      <c r="A130" s="250"/>
      <c r="B130" s="250"/>
      <c r="W130" s="250"/>
    </row>
    <row r="131" spans="1:24" ht="15.75" customHeight="1">
      <c r="A131" s="250"/>
      <c r="B131" s="250"/>
      <c r="W131" s="250"/>
    </row>
    <row r="132" spans="1:24" ht="15.75" customHeight="1">
      <c r="A132" s="250"/>
      <c r="B132" s="250"/>
      <c r="W132" s="250"/>
    </row>
    <row r="133" spans="1:24" ht="15.75" customHeight="1">
      <c r="A133" s="250"/>
      <c r="B133" s="250"/>
      <c r="W133" s="250"/>
    </row>
    <row r="134" spans="1:24" ht="15.75" customHeight="1">
      <c r="A134" s="250"/>
      <c r="B134" s="250"/>
      <c r="W134" s="250"/>
    </row>
    <row r="135" spans="1:24" ht="15.75" customHeight="1">
      <c r="A135" s="250"/>
      <c r="B135" s="250"/>
      <c r="W135" s="250"/>
    </row>
    <row r="136" spans="1:24" ht="15.75" customHeight="1">
      <c r="A136" s="250"/>
      <c r="B136" s="250"/>
      <c r="W136" s="250"/>
    </row>
    <row r="137" spans="1:24" ht="15.75" customHeight="1">
      <c r="A137" s="250"/>
      <c r="B137" s="250"/>
      <c r="W137" s="250"/>
    </row>
    <row r="138" spans="1:24" ht="15.75" customHeight="1">
      <c r="A138" s="250"/>
      <c r="B138" s="250"/>
      <c r="W138" s="250"/>
    </row>
    <row r="139" spans="1:24" ht="15.75" customHeight="1">
      <c r="A139" s="250"/>
      <c r="B139" s="250"/>
      <c r="W139" s="250"/>
    </row>
    <row r="140" spans="1:24" ht="15.75" customHeight="1">
      <c r="A140" s="250"/>
      <c r="B140" s="250"/>
      <c r="W140" s="250"/>
    </row>
    <row r="141" spans="1:24" ht="15.75" customHeight="1">
      <c r="A141" s="250"/>
      <c r="B141" s="250"/>
      <c r="W141" s="250"/>
    </row>
    <row r="142" spans="1:24" ht="15.75" customHeight="1">
      <c r="A142" s="250"/>
      <c r="B142" s="250"/>
      <c r="W142" s="250"/>
    </row>
    <row r="143" spans="1:24" ht="15.75" customHeight="1">
      <c r="A143" s="250"/>
      <c r="B143" s="250"/>
      <c r="W143" s="250"/>
    </row>
    <row r="144" spans="1:24" ht="15.75" customHeight="1">
      <c r="A144" s="250"/>
      <c r="B144" s="250"/>
      <c r="W144" s="250"/>
    </row>
    <row r="145" spans="1:23" ht="15.75" customHeight="1">
      <c r="A145" s="250"/>
      <c r="B145" s="250"/>
      <c r="W145" s="250"/>
    </row>
    <row r="146" spans="1:23" ht="15.75" customHeight="1">
      <c r="A146" s="250"/>
      <c r="B146" s="250"/>
      <c r="W146" s="250"/>
    </row>
    <row r="147" spans="1:23" ht="15.75" customHeight="1">
      <c r="A147" s="250"/>
      <c r="B147" s="250"/>
      <c r="W147" s="250"/>
    </row>
    <row r="148" spans="1:23" ht="15.75" customHeight="1">
      <c r="A148" s="250"/>
      <c r="B148" s="250"/>
      <c r="W148" s="250"/>
    </row>
    <row r="149" spans="1:23" ht="15.75" customHeight="1">
      <c r="A149" s="250"/>
      <c r="B149" s="250"/>
      <c r="W149" s="250"/>
    </row>
    <row r="150" spans="1:23" ht="15.75" customHeight="1">
      <c r="A150" s="250"/>
      <c r="B150" s="250"/>
      <c r="W150" s="250"/>
    </row>
    <row r="151" spans="1:23" ht="15.75" customHeight="1">
      <c r="A151" s="250"/>
      <c r="B151" s="250"/>
      <c r="W151" s="250"/>
    </row>
    <row r="152" spans="1:23" ht="15.75" customHeight="1">
      <c r="A152" s="250"/>
      <c r="B152" s="250"/>
      <c r="W152" s="250"/>
    </row>
    <row r="153" spans="1:23" ht="15.75" customHeight="1">
      <c r="A153" s="250"/>
      <c r="B153" s="250"/>
      <c r="W153" s="250"/>
    </row>
    <row r="154" spans="1:23" ht="15.75" customHeight="1">
      <c r="A154" s="250"/>
      <c r="B154" s="250"/>
      <c r="W154" s="250"/>
    </row>
    <row r="155" spans="1:23" ht="15.75" customHeight="1">
      <c r="A155" s="250"/>
      <c r="B155" s="250"/>
      <c r="W155" s="250"/>
    </row>
    <row r="156" spans="1:23" ht="15.75" customHeight="1">
      <c r="A156" s="250"/>
      <c r="B156" s="250"/>
      <c r="W156" s="250"/>
    </row>
    <row r="157" spans="1:23" ht="15.75" customHeight="1">
      <c r="A157" s="250"/>
      <c r="B157" s="250"/>
      <c r="W157" s="250"/>
    </row>
    <row r="158" spans="1:23" ht="15.75" customHeight="1">
      <c r="A158" s="250"/>
      <c r="B158" s="250"/>
      <c r="W158" s="250"/>
    </row>
    <row r="159" spans="1:23" ht="15.75" customHeight="1">
      <c r="A159" s="250"/>
      <c r="B159" s="250"/>
      <c r="W159" s="250"/>
    </row>
    <row r="160" spans="1:23" ht="15.75" customHeight="1">
      <c r="A160" s="250"/>
      <c r="B160" s="250"/>
      <c r="W160" s="250"/>
    </row>
    <row r="161" spans="1:23" ht="15.75" customHeight="1">
      <c r="A161" s="250"/>
      <c r="B161" s="250"/>
      <c r="W161" s="250"/>
    </row>
    <row r="162" spans="1:23" ht="15.75" customHeight="1">
      <c r="A162" s="250"/>
      <c r="B162" s="250"/>
      <c r="W162" s="250"/>
    </row>
    <row r="163" spans="1:23" ht="15.75" customHeight="1">
      <c r="A163" s="250"/>
      <c r="B163" s="250"/>
      <c r="W163" s="250"/>
    </row>
    <row r="164" spans="1:23" ht="15.75" customHeight="1">
      <c r="A164" s="250"/>
      <c r="B164" s="250"/>
      <c r="W164" s="250"/>
    </row>
    <row r="165" spans="1:23" ht="15.75" customHeight="1">
      <c r="A165" s="250"/>
      <c r="B165" s="250"/>
      <c r="W165" s="250"/>
    </row>
    <row r="166" spans="1:23" ht="15.75" customHeight="1">
      <c r="A166" s="250"/>
      <c r="B166" s="250"/>
      <c r="W166" s="250"/>
    </row>
    <row r="167" spans="1:23" ht="15.75" customHeight="1">
      <c r="A167" s="250"/>
      <c r="B167" s="250"/>
      <c r="W167" s="250"/>
    </row>
    <row r="168" spans="1:23" ht="15.75" customHeight="1">
      <c r="A168" s="250"/>
      <c r="B168" s="250"/>
      <c r="W168" s="250"/>
    </row>
    <row r="169" spans="1:23" ht="15.75" customHeight="1">
      <c r="A169" s="250"/>
      <c r="B169" s="250"/>
      <c r="W169" s="250"/>
    </row>
    <row r="170" spans="1:23" ht="15.75" customHeight="1">
      <c r="A170" s="250"/>
      <c r="B170" s="250"/>
      <c r="W170" s="250"/>
    </row>
    <row r="171" spans="1:23" ht="15.75" customHeight="1">
      <c r="A171" s="250"/>
      <c r="B171" s="250"/>
      <c r="W171" s="250"/>
    </row>
    <row r="172" spans="1:23" ht="15.75" customHeight="1">
      <c r="A172" s="250"/>
      <c r="B172" s="250"/>
      <c r="W172" s="250"/>
    </row>
    <row r="173" spans="1:23" ht="15.75" customHeight="1">
      <c r="A173" s="250"/>
      <c r="B173" s="250"/>
      <c r="W173" s="250"/>
    </row>
    <row r="174" spans="1:23" ht="15.75" customHeight="1">
      <c r="A174" s="250"/>
      <c r="B174" s="250"/>
      <c r="W174" s="250"/>
    </row>
    <row r="175" spans="1:23" ht="15.75" customHeight="1">
      <c r="A175" s="250"/>
      <c r="B175" s="250"/>
      <c r="W175" s="250"/>
    </row>
    <row r="176" spans="1:23" ht="15.75" customHeight="1">
      <c r="A176" s="250"/>
      <c r="B176" s="250"/>
      <c r="W176" s="250"/>
    </row>
    <row r="177" spans="1:23" ht="15.75" customHeight="1">
      <c r="A177" s="250"/>
      <c r="B177" s="250"/>
      <c r="W177" s="250"/>
    </row>
    <row r="178" spans="1:23" ht="15.75" customHeight="1">
      <c r="A178" s="250"/>
      <c r="B178" s="250"/>
      <c r="W178" s="250"/>
    </row>
    <row r="179" spans="1:23" ht="15.75" customHeight="1">
      <c r="A179" s="250"/>
      <c r="B179" s="250"/>
      <c r="W179" s="250"/>
    </row>
    <row r="180" spans="1:23" ht="15.75" customHeight="1">
      <c r="A180" s="250"/>
      <c r="B180" s="250"/>
      <c r="W180" s="250"/>
    </row>
    <row r="181" spans="1:23" ht="15.75" customHeight="1">
      <c r="A181" s="250"/>
      <c r="B181" s="250"/>
      <c r="W181" s="250"/>
    </row>
    <row r="182" spans="1:23" ht="15.75" customHeight="1">
      <c r="A182" s="250"/>
      <c r="B182" s="250"/>
      <c r="W182" s="250"/>
    </row>
    <row r="183" spans="1:23" ht="15.75" customHeight="1">
      <c r="A183" s="250"/>
      <c r="B183" s="250"/>
      <c r="W183" s="250"/>
    </row>
    <row r="184" spans="1:23" ht="15.75" customHeight="1">
      <c r="A184" s="250"/>
      <c r="B184" s="250"/>
      <c r="W184" s="250"/>
    </row>
    <row r="185" spans="1:23" ht="15.75" customHeight="1">
      <c r="A185" s="250"/>
      <c r="B185" s="250"/>
      <c r="W185" s="250"/>
    </row>
    <row r="186" spans="1:23" ht="15.75" customHeight="1">
      <c r="A186" s="250"/>
      <c r="B186" s="250"/>
      <c r="W186" s="250"/>
    </row>
    <row r="187" spans="1:23" ht="15.75" customHeight="1">
      <c r="A187" s="250"/>
      <c r="B187" s="250"/>
      <c r="W187" s="250"/>
    </row>
    <row r="188" spans="1:23" ht="15.75" customHeight="1">
      <c r="A188" s="250"/>
      <c r="B188" s="250"/>
      <c r="W188" s="250"/>
    </row>
    <row r="189" spans="1:23" ht="15.75" customHeight="1">
      <c r="A189" s="250"/>
      <c r="B189" s="250"/>
      <c r="W189" s="250"/>
    </row>
    <row r="190" spans="1:23" ht="15.75" customHeight="1">
      <c r="A190" s="250"/>
      <c r="B190" s="250"/>
      <c r="W190" s="250"/>
    </row>
    <row r="191" spans="1:23" ht="15.75" customHeight="1">
      <c r="A191" s="250"/>
      <c r="B191" s="250"/>
      <c r="W191" s="250"/>
    </row>
    <row r="192" spans="1:23" ht="15.75" customHeight="1">
      <c r="A192" s="250"/>
      <c r="B192" s="250"/>
      <c r="W192" s="250"/>
    </row>
    <row r="193" spans="1:23" ht="15.75" customHeight="1">
      <c r="A193" s="250"/>
      <c r="B193" s="250"/>
      <c r="W193" s="250"/>
    </row>
    <row r="194" spans="1:23" ht="15.75" customHeight="1">
      <c r="A194" s="250"/>
      <c r="B194" s="250"/>
      <c r="W194" s="250"/>
    </row>
    <row r="195" spans="1:23" ht="15.75" customHeight="1">
      <c r="A195" s="250"/>
      <c r="B195" s="250"/>
      <c r="W195" s="250"/>
    </row>
    <row r="196" spans="1:23" ht="15.75" customHeight="1">
      <c r="A196" s="250"/>
      <c r="B196" s="250"/>
      <c r="W196" s="250"/>
    </row>
    <row r="197" spans="1:23" ht="15.75" customHeight="1">
      <c r="A197" s="250"/>
      <c r="B197" s="250"/>
      <c r="W197" s="250"/>
    </row>
    <row r="198" spans="1:23" ht="15.75" customHeight="1">
      <c r="A198" s="250"/>
      <c r="B198" s="250"/>
      <c r="W198" s="250"/>
    </row>
    <row r="199" spans="1:23" ht="15.75" customHeight="1">
      <c r="A199" s="250"/>
      <c r="B199" s="250"/>
      <c r="W199" s="250"/>
    </row>
    <row r="200" spans="1:23" ht="15.75" customHeight="1">
      <c r="A200" s="250"/>
      <c r="B200" s="250"/>
      <c r="W200" s="250"/>
    </row>
    <row r="201" spans="1:23" ht="15.75" customHeight="1">
      <c r="A201" s="250"/>
      <c r="B201" s="250"/>
      <c r="W201" s="250"/>
    </row>
    <row r="202" spans="1:23" ht="15.75" customHeight="1">
      <c r="A202" s="250"/>
      <c r="B202" s="250"/>
      <c r="W202" s="250"/>
    </row>
    <row r="203" spans="1:23" ht="15.75" customHeight="1">
      <c r="A203" s="250"/>
      <c r="B203" s="250"/>
      <c r="W203" s="250"/>
    </row>
    <row r="204" spans="1:23" ht="15.75" customHeight="1">
      <c r="A204" s="250"/>
      <c r="B204" s="250"/>
      <c r="W204" s="250"/>
    </row>
    <row r="205" spans="1:23" ht="15.75" customHeight="1">
      <c r="A205" s="250"/>
      <c r="B205" s="250"/>
      <c r="W205" s="250"/>
    </row>
    <row r="206" spans="1:23" ht="15.75" customHeight="1">
      <c r="A206" s="250"/>
      <c r="B206" s="250"/>
      <c r="W206" s="250"/>
    </row>
    <row r="207" spans="1:23" ht="15.75" customHeight="1">
      <c r="A207" s="250"/>
      <c r="B207" s="250"/>
      <c r="W207" s="250"/>
    </row>
    <row r="208" spans="1:23" ht="15.75" customHeight="1">
      <c r="A208" s="250"/>
      <c r="B208" s="250"/>
      <c r="W208" s="250"/>
    </row>
    <row r="209" spans="1:23" ht="15.75" customHeight="1">
      <c r="A209" s="250"/>
      <c r="B209" s="250"/>
      <c r="W209" s="250"/>
    </row>
    <row r="210" spans="1:23" ht="15.75" customHeight="1">
      <c r="A210" s="250"/>
      <c r="B210" s="250"/>
      <c r="W210" s="250"/>
    </row>
    <row r="211" spans="1:23" ht="15.75" customHeight="1">
      <c r="A211" s="250"/>
      <c r="B211" s="250"/>
      <c r="W211" s="250"/>
    </row>
    <row r="212" spans="1:23" ht="15.75" customHeight="1">
      <c r="A212" s="250"/>
      <c r="B212" s="250"/>
      <c r="W212" s="250"/>
    </row>
    <row r="213" spans="1:23" ht="15.75" customHeight="1">
      <c r="A213" s="250"/>
      <c r="B213" s="250"/>
      <c r="W213" s="250"/>
    </row>
    <row r="214" spans="1:23" ht="15.75" customHeight="1">
      <c r="A214" s="250"/>
      <c r="B214" s="250"/>
      <c r="W214" s="250"/>
    </row>
    <row r="215" spans="1:23" ht="15.75" customHeight="1">
      <c r="A215" s="250"/>
      <c r="B215" s="250"/>
      <c r="W215" s="250"/>
    </row>
    <row r="216" spans="1:23" ht="15.75" customHeight="1">
      <c r="A216" s="250"/>
      <c r="B216" s="250"/>
      <c r="W216" s="250"/>
    </row>
    <row r="217" spans="1:23" ht="15.75" customHeight="1">
      <c r="A217" s="250"/>
      <c r="B217" s="250"/>
      <c r="W217" s="250"/>
    </row>
    <row r="218" spans="1:23" ht="15.75" customHeight="1">
      <c r="A218" s="250"/>
      <c r="B218" s="250"/>
      <c r="W218" s="250"/>
    </row>
    <row r="219" spans="1:23" ht="15.75" customHeight="1">
      <c r="A219" s="250"/>
      <c r="B219" s="250"/>
      <c r="W219" s="250"/>
    </row>
    <row r="220" spans="1:23" ht="15.75" customHeight="1">
      <c r="A220" s="250"/>
      <c r="B220" s="250"/>
      <c r="W220" s="250"/>
    </row>
    <row r="221" spans="1:23" ht="15.75" customHeight="1">
      <c r="A221" s="250"/>
      <c r="B221" s="250"/>
      <c r="W221" s="250"/>
    </row>
    <row r="222" spans="1:23" ht="15.75" customHeight="1">
      <c r="A222" s="250"/>
      <c r="B222" s="250"/>
      <c r="W222" s="250"/>
    </row>
    <row r="223" spans="1:23" ht="15.75" customHeight="1">
      <c r="A223" s="250"/>
      <c r="B223" s="250"/>
      <c r="W223" s="250"/>
    </row>
    <row r="224" spans="1:23" ht="15.75" customHeight="1">
      <c r="A224" s="250"/>
      <c r="B224" s="250"/>
      <c r="W224" s="250"/>
    </row>
    <row r="225" spans="1:23" ht="15.75" customHeight="1">
      <c r="A225" s="250"/>
      <c r="B225" s="250"/>
      <c r="W225" s="250"/>
    </row>
    <row r="226" spans="1:23" ht="15.75" customHeight="1">
      <c r="A226" s="250"/>
      <c r="B226" s="250"/>
      <c r="W226" s="250"/>
    </row>
    <row r="227" spans="1:23" ht="15.75" customHeight="1">
      <c r="A227" s="250"/>
      <c r="B227" s="250"/>
      <c r="W227" s="250"/>
    </row>
    <row r="228" spans="1:23" ht="15.75" customHeight="1">
      <c r="A228" s="250"/>
      <c r="B228" s="250"/>
      <c r="W228" s="250"/>
    </row>
    <row r="229" spans="1:23" ht="15.75" customHeight="1">
      <c r="A229" s="250"/>
      <c r="B229" s="250"/>
      <c r="W229" s="250"/>
    </row>
    <row r="230" spans="1:23" ht="15.75" customHeight="1">
      <c r="A230" s="250"/>
      <c r="B230" s="250"/>
      <c r="W230" s="250"/>
    </row>
    <row r="231" spans="1:23" ht="15.75" customHeight="1">
      <c r="A231" s="250"/>
      <c r="B231" s="250"/>
      <c r="W231" s="250"/>
    </row>
    <row r="232" spans="1:23" ht="15.75" customHeight="1">
      <c r="A232" s="250"/>
      <c r="B232" s="250"/>
      <c r="W232" s="250"/>
    </row>
    <row r="233" spans="1:23" ht="15.75" customHeight="1">
      <c r="A233" s="250"/>
      <c r="B233" s="250"/>
      <c r="W233" s="250"/>
    </row>
    <row r="234" spans="1:23" ht="15.75" customHeight="1">
      <c r="A234" s="250"/>
      <c r="B234" s="250"/>
      <c r="W234" s="250"/>
    </row>
    <row r="235" spans="1:23" ht="15.75" customHeight="1">
      <c r="A235" s="250"/>
      <c r="B235" s="250"/>
      <c r="W235" s="250"/>
    </row>
    <row r="236" spans="1:23" ht="15.75" customHeight="1">
      <c r="A236" s="250"/>
      <c r="B236" s="250"/>
      <c r="W236" s="250"/>
    </row>
    <row r="237" spans="1:23" ht="15.75" customHeight="1">
      <c r="A237" s="250"/>
      <c r="B237" s="250"/>
      <c r="W237" s="250"/>
    </row>
    <row r="238" spans="1:23" ht="15.75" customHeight="1">
      <c r="A238" s="250"/>
      <c r="B238" s="250"/>
      <c r="W238" s="250"/>
    </row>
    <row r="239" spans="1:23" ht="15.75" customHeight="1">
      <c r="A239" s="250"/>
      <c r="B239" s="250"/>
      <c r="W239" s="250"/>
    </row>
    <row r="240" spans="1:23" ht="15.75" customHeight="1">
      <c r="A240" s="250"/>
      <c r="B240" s="250"/>
      <c r="W240" s="250"/>
    </row>
    <row r="241" spans="1:23" ht="15.75" customHeight="1">
      <c r="A241" s="250"/>
      <c r="B241" s="250"/>
      <c r="W241" s="250"/>
    </row>
    <row r="242" spans="1:23" ht="15.75" customHeight="1">
      <c r="A242" s="250"/>
      <c r="B242" s="250"/>
      <c r="W242" s="250"/>
    </row>
    <row r="243" spans="1:23" ht="15.75" customHeight="1">
      <c r="A243" s="250"/>
      <c r="B243" s="250"/>
      <c r="W243" s="250"/>
    </row>
    <row r="244" spans="1:23" ht="15.75" customHeight="1">
      <c r="A244" s="250"/>
      <c r="B244" s="250"/>
      <c r="W244" s="250"/>
    </row>
    <row r="245" spans="1:23" ht="15.75" customHeight="1">
      <c r="A245" s="250"/>
      <c r="B245" s="250"/>
      <c r="W245" s="250"/>
    </row>
    <row r="246" spans="1:23" ht="15.75" customHeight="1">
      <c r="A246" s="250"/>
      <c r="B246" s="250"/>
      <c r="W246" s="250"/>
    </row>
    <row r="247" spans="1:23" ht="15.75" customHeight="1">
      <c r="A247" s="250"/>
      <c r="B247" s="250"/>
      <c r="W247" s="250"/>
    </row>
    <row r="248" spans="1:23" ht="15.75" customHeight="1">
      <c r="A248" s="250"/>
      <c r="B248" s="250"/>
      <c r="W248" s="250"/>
    </row>
    <row r="249" spans="1:23" ht="15.75" customHeight="1">
      <c r="A249" s="250"/>
      <c r="B249" s="250"/>
      <c r="W249" s="250"/>
    </row>
    <row r="250" spans="1:23" ht="15.75" customHeight="1">
      <c r="A250" s="250"/>
      <c r="B250" s="250"/>
      <c r="W250" s="250"/>
    </row>
    <row r="251" spans="1:23" ht="15.75" customHeight="1">
      <c r="A251" s="250"/>
      <c r="B251" s="250"/>
      <c r="W251" s="250"/>
    </row>
    <row r="252" spans="1:23" ht="15.75" customHeight="1">
      <c r="A252" s="250"/>
      <c r="B252" s="250"/>
      <c r="W252" s="250"/>
    </row>
    <row r="253" spans="1:23" ht="15.75" customHeight="1">
      <c r="A253" s="250"/>
      <c r="B253" s="250"/>
      <c r="W253" s="250"/>
    </row>
    <row r="254" spans="1:23" ht="15.75" customHeight="1">
      <c r="A254" s="250"/>
      <c r="B254" s="250"/>
      <c r="W254" s="250"/>
    </row>
    <row r="255" spans="1:23" ht="15.75" customHeight="1">
      <c r="A255" s="250"/>
      <c r="B255" s="250"/>
      <c r="W255" s="250"/>
    </row>
    <row r="256" spans="1:23" ht="15.75" customHeight="1">
      <c r="A256" s="250"/>
      <c r="B256" s="250"/>
      <c r="W256" s="250"/>
    </row>
    <row r="257" spans="1:23" ht="15.75" customHeight="1">
      <c r="A257" s="250"/>
      <c r="B257" s="250"/>
      <c r="W257" s="250"/>
    </row>
    <row r="258" spans="1:23" ht="15.75" customHeight="1">
      <c r="A258" s="250"/>
      <c r="B258" s="250"/>
      <c r="W258" s="250"/>
    </row>
    <row r="259" spans="1:23" ht="15.75" customHeight="1">
      <c r="A259" s="250"/>
      <c r="B259" s="250"/>
      <c r="W259" s="250"/>
    </row>
    <row r="260" spans="1:23" ht="15.75" customHeight="1">
      <c r="A260" s="250"/>
      <c r="B260" s="250"/>
      <c r="W260" s="250"/>
    </row>
    <row r="261" spans="1:23" ht="15.75" customHeight="1">
      <c r="A261" s="250"/>
      <c r="B261" s="250"/>
      <c r="W261" s="250"/>
    </row>
    <row r="262" spans="1:23" ht="15.75" customHeight="1">
      <c r="A262" s="250"/>
      <c r="B262" s="250"/>
      <c r="W262" s="250"/>
    </row>
    <row r="263" spans="1:23" ht="15.75" customHeight="1">
      <c r="A263" s="250"/>
      <c r="B263" s="250"/>
      <c r="W263" s="250"/>
    </row>
    <row r="264" spans="1:23" ht="15.75" customHeight="1">
      <c r="A264" s="250"/>
      <c r="B264" s="250"/>
      <c r="W264" s="250"/>
    </row>
    <row r="265" spans="1:23" ht="15.75" customHeight="1">
      <c r="A265" s="250"/>
      <c r="B265" s="250"/>
      <c r="W265" s="250"/>
    </row>
    <row r="266" spans="1:23" ht="15.75" customHeight="1">
      <c r="A266" s="250"/>
      <c r="B266" s="250"/>
      <c r="W266" s="250"/>
    </row>
    <row r="267" spans="1:23" ht="15.75" customHeight="1">
      <c r="A267" s="250"/>
      <c r="B267" s="250"/>
      <c r="W267" s="250"/>
    </row>
    <row r="268" spans="1:23" ht="15.75" customHeight="1">
      <c r="A268" s="250"/>
      <c r="B268" s="250"/>
      <c r="W268" s="250"/>
    </row>
    <row r="269" spans="1:23" ht="15.75" customHeight="1">
      <c r="A269" s="250"/>
      <c r="B269" s="250"/>
      <c r="W269" s="250"/>
    </row>
    <row r="270" spans="1:23" ht="15.75" customHeight="1">
      <c r="A270" s="250"/>
      <c r="B270" s="250"/>
      <c r="W270" s="250"/>
    </row>
    <row r="271" spans="1:23" ht="15.75" customHeight="1">
      <c r="A271" s="250"/>
      <c r="B271" s="250"/>
      <c r="W271" s="250"/>
    </row>
    <row r="272" spans="1:23" ht="15.75" customHeight="1">
      <c r="A272" s="250"/>
      <c r="B272" s="250"/>
      <c r="W272" s="250"/>
    </row>
    <row r="273" spans="1:23" ht="15.75" customHeight="1">
      <c r="A273" s="250"/>
      <c r="B273" s="250"/>
      <c r="W273" s="250"/>
    </row>
    <row r="274" spans="1:23" ht="15.75" customHeight="1">
      <c r="A274" s="250"/>
      <c r="B274" s="250"/>
      <c r="W274" s="250"/>
    </row>
    <row r="275" spans="1:23" ht="15.75" customHeight="1">
      <c r="A275" s="250"/>
      <c r="B275" s="250"/>
      <c r="W275" s="250"/>
    </row>
    <row r="276" spans="1:23" ht="15.75" customHeight="1">
      <c r="A276" s="250"/>
      <c r="B276" s="250"/>
      <c r="W276" s="250"/>
    </row>
    <row r="277" spans="1:23" ht="15.75" customHeight="1">
      <c r="A277" s="250"/>
      <c r="B277" s="250"/>
      <c r="W277" s="250"/>
    </row>
    <row r="278" spans="1:23" ht="15.75" customHeight="1">
      <c r="A278" s="250"/>
      <c r="B278" s="250"/>
      <c r="W278" s="250"/>
    </row>
    <row r="279" spans="1:23" ht="15.75" customHeight="1">
      <c r="A279" s="250"/>
      <c r="B279" s="250"/>
      <c r="W279" s="250"/>
    </row>
    <row r="280" spans="1:23" ht="15.75" customHeight="1">
      <c r="A280" s="250"/>
      <c r="B280" s="250"/>
      <c r="W280" s="250"/>
    </row>
    <row r="281" spans="1:23" ht="15.75" customHeight="1">
      <c r="A281" s="250"/>
      <c r="B281" s="250"/>
      <c r="W281" s="250"/>
    </row>
    <row r="282" spans="1:23" ht="15.75" customHeight="1">
      <c r="A282" s="250"/>
      <c r="B282" s="250"/>
      <c r="W282" s="250"/>
    </row>
    <row r="283" spans="1:23" ht="15.75" customHeight="1">
      <c r="A283" s="250"/>
      <c r="B283" s="250"/>
      <c r="W283" s="250"/>
    </row>
    <row r="284" spans="1:23" ht="15.75" customHeight="1">
      <c r="A284" s="250"/>
      <c r="B284" s="250"/>
      <c r="W284" s="250"/>
    </row>
    <row r="285" spans="1:23" ht="15.75" customHeight="1">
      <c r="A285" s="250"/>
      <c r="B285" s="250"/>
      <c r="W285" s="250"/>
    </row>
    <row r="286" spans="1:23" ht="15.75" customHeight="1">
      <c r="A286" s="250"/>
      <c r="B286" s="250"/>
      <c r="W286" s="250"/>
    </row>
    <row r="287" spans="1:23" ht="15.75" customHeight="1">
      <c r="A287" s="250"/>
      <c r="B287" s="250"/>
      <c r="W287" s="250"/>
    </row>
    <row r="288" spans="1:23" ht="15.75" customHeight="1">
      <c r="A288" s="250"/>
      <c r="B288" s="250"/>
      <c r="W288" s="250"/>
    </row>
    <row r="289" spans="1:23" ht="15.75" customHeight="1">
      <c r="A289" s="250"/>
      <c r="B289" s="250"/>
      <c r="W289" s="250"/>
    </row>
    <row r="290" spans="1:23" ht="15.75" customHeight="1">
      <c r="A290" s="250"/>
      <c r="B290" s="250"/>
      <c r="W290" s="250"/>
    </row>
    <row r="291" spans="1:23" ht="15.75" customHeight="1">
      <c r="A291" s="250"/>
      <c r="B291" s="250"/>
      <c r="W291" s="250"/>
    </row>
    <row r="292" spans="1:23" ht="15.75" customHeight="1">
      <c r="A292" s="250"/>
      <c r="B292" s="250"/>
      <c r="W292" s="250"/>
    </row>
    <row r="293" spans="1:23" ht="15.75" customHeight="1">
      <c r="A293" s="250"/>
      <c r="B293" s="250"/>
      <c r="W293" s="250"/>
    </row>
    <row r="294" spans="1:23" ht="15.75" customHeight="1">
      <c r="A294" s="250"/>
      <c r="B294" s="250"/>
      <c r="W294" s="250"/>
    </row>
    <row r="295" spans="1:23" ht="15.75" customHeight="1">
      <c r="A295" s="250"/>
      <c r="B295" s="250"/>
      <c r="W295" s="250"/>
    </row>
    <row r="296" spans="1:23" ht="15.75" customHeight="1">
      <c r="A296" s="250"/>
      <c r="B296" s="250"/>
      <c r="W296" s="250"/>
    </row>
    <row r="297" spans="1:23" ht="15.75" customHeight="1">
      <c r="A297" s="250"/>
      <c r="B297" s="250"/>
      <c r="W297" s="250"/>
    </row>
    <row r="298" spans="1:23" ht="15.75" customHeight="1">
      <c r="A298" s="250"/>
      <c r="B298" s="250"/>
      <c r="W298" s="250"/>
    </row>
    <row r="299" spans="1:23" ht="15.75" customHeight="1">
      <c r="A299" s="250"/>
      <c r="B299" s="250"/>
      <c r="W299" s="250"/>
    </row>
    <row r="300" spans="1:23" ht="15.75" customHeight="1">
      <c r="A300" s="250"/>
      <c r="B300" s="250"/>
      <c r="W300" s="250"/>
    </row>
    <row r="301" spans="1:23" ht="15.75" customHeight="1">
      <c r="A301" s="250"/>
      <c r="B301" s="250"/>
      <c r="W301" s="250"/>
    </row>
    <row r="302" spans="1:23" ht="15.75" customHeight="1">
      <c r="A302" s="250"/>
      <c r="B302" s="250"/>
      <c r="W302" s="250"/>
    </row>
    <row r="303" spans="1:23" ht="15.75" customHeight="1">
      <c r="A303" s="250"/>
      <c r="B303" s="250"/>
      <c r="W303" s="250"/>
    </row>
    <row r="304" spans="1:23" ht="15.75" customHeight="1">
      <c r="A304" s="250"/>
      <c r="B304" s="250"/>
      <c r="W304" s="250"/>
    </row>
    <row r="305" spans="1:23" ht="15.75" customHeight="1">
      <c r="A305" s="250"/>
      <c r="B305" s="250"/>
      <c r="W305" s="250"/>
    </row>
    <row r="306" spans="1:23" ht="15.75" customHeight="1">
      <c r="A306" s="250"/>
      <c r="B306" s="250"/>
      <c r="W306" s="250"/>
    </row>
    <row r="307" spans="1:23" ht="15.75" customHeight="1">
      <c r="A307" s="250"/>
      <c r="B307" s="250"/>
      <c r="W307" s="250"/>
    </row>
    <row r="308" spans="1:23" ht="15.75" customHeight="1">
      <c r="A308" s="250"/>
      <c r="B308" s="250"/>
      <c r="W308" s="250"/>
    </row>
    <row r="309" spans="1:23" ht="15.75" customHeight="1">
      <c r="A309" s="250"/>
      <c r="B309" s="250"/>
      <c r="W309" s="250"/>
    </row>
    <row r="310" spans="1:23" ht="15.75" customHeight="1">
      <c r="A310" s="250"/>
      <c r="B310" s="250"/>
      <c r="W310" s="250"/>
    </row>
    <row r="311" spans="1:23" ht="15.75" customHeight="1">
      <c r="A311" s="250"/>
      <c r="B311" s="250"/>
      <c r="W311" s="250"/>
    </row>
    <row r="312" spans="1:23" ht="15.75" customHeight="1">
      <c r="A312" s="250"/>
      <c r="B312" s="250"/>
      <c r="W312" s="250"/>
    </row>
    <row r="313" spans="1:23" ht="15.75" customHeight="1">
      <c r="A313" s="250"/>
      <c r="B313" s="250"/>
      <c r="W313" s="250"/>
    </row>
    <row r="314" spans="1:23" ht="15.75" customHeight="1">
      <c r="A314" s="250"/>
      <c r="B314" s="250"/>
      <c r="W314" s="250"/>
    </row>
    <row r="315" spans="1:23" ht="15.75" customHeight="1">
      <c r="A315" s="250"/>
      <c r="B315" s="250"/>
      <c r="W315" s="250"/>
    </row>
    <row r="316" spans="1:23" ht="15.75" customHeight="1">
      <c r="A316" s="250"/>
      <c r="B316" s="250"/>
      <c r="W316" s="250"/>
    </row>
    <row r="317" spans="1:23" ht="15.75" customHeight="1">
      <c r="A317" s="250"/>
      <c r="B317" s="250"/>
      <c r="W317" s="250"/>
    </row>
    <row r="318" spans="1:23" ht="15.75" customHeight="1">
      <c r="A318" s="250"/>
      <c r="B318" s="250"/>
      <c r="W318" s="250"/>
    </row>
    <row r="319" spans="1:23" ht="15.75" customHeight="1">
      <c r="A319" s="250"/>
      <c r="B319" s="250"/>
      <c r="W319" s="250"/>
    </row>
    <row r="320" spans="1:23" ht="15.75" customHeight="1">
      <c r="A320" s="250"/>
      <c r="B320" s="250"/>
      <c r="W320" s="250"/>
    </row>
    <row r="321" spans="1:23" ht="15.75" customHeight="1">
      <c r="A321" s="250"/>
      <c r="B321" s="250"/>
      <c r="W321" s="250"/>
    </row>
    <row r="322" spans="1:23" ht="15.75" customHeight="1">
      <c r="A322" s="250"/>
      <c r="B322" s="250"/>
      <c r="W322" s="250"/>
    </row>
    <row r="323" spans="1:23" ht="15.75" customHeight="1">
      <c r="A323" s="250"/>
      <c r="B323" s="250"/>
      <c r="W323" s="250"/>
    </row>
    <row r="324" spans="1:23" ht="15.75" customHeight="1">
      <c r="A324" s="250"/>
      <c r="B324" s="250"/>
      <c r="W324" s="250"/>
    </row>
    <row r="325" spans="1:23" ht="15.75" customHeight="1">
      <c r="A325" s="250"/>
      <c r="B325" s="250"/>
      <c r="W325" s="250"/>
    </row>
    <row r="326" spans="1:23" ht="15.75" customHeight="1">
      <c r="A326" s="250"/>
      <c r="B326" s="250"/>
      <c r="W326" s="250"/>
    </row>
    <row r="327" spans="1:23" ht="15.75" customHeight="1">
      <c r="A327" s="250"/>
      <c r="B327" s="250"/>
      <c r="W327" s="250"/>
    </row>
    <row r="328" spans="1:23" ht="15.75" customHeight="1">
      <c r="A328" s="250"/>
      <c r="B328" s="250"/>
      <c r="W328" s="250"/>
    </row>
    <row r="329" spans="1:23" ht="15.75" customHeight="1">
      <c r="A329" s="250"/>
      <c r="B329" s="250"/>
      <c r="W329" s="250"/>
    </row>
    <row r="330" spans="1:23" ht="15.75" customHeight="1">
      <c r="A330" s="250"/>
      <c r="B330" s="250"/>
      <c r="W330" s="250"/>
    </row>
    <row r="331" spans="1:23" ht="15.75" customHeight="1">
      <c r="A331" s="250"/>
      <c r="B331" s="250"/>
      <c r="W331" s="250"/>
    </row>
    <row r="332" spans="1:23" ht="15.75" customHeight="1">
      <c r="A332" s="250"/>
      <c r="B332" s="250"/>
      <c r="W332" s="250"/>
    </row>
    <row r="333" spans="1:23" ht="15.75" customHeight="1">
      <c r="A333" s="250"/>
      <c r="B333" s="250"/>
      <c r="W333" s="250"/>
    </row>
    <row r="334" spans="1:23" ht="15.75" customHeight="1">
      <c r="A334" s="250"/>
      <c r="B334" s="250"/>
      <c r="W334" s="250"/>
    </row>
    <row r="335" spans="1:23" ht="15.75" customHeight="1">
      <c r="A335" s="250"/>
      <c r="B335" s="250"/>
      <c r="W335" s="250"/>
    </row>
    <row r="336" spans="1:23" ht="15.75" customHeight="1">
      <c r="A336" s="250"/>
      <c r="B336" s="250"/>
      <c r="W336" s="250"/>
    </row>
    <row r="337" spans="1:23" ht="15.75" customHeight="1">
      <c r="A337" s="250"/>
      <c r="B337" s="250"/>
      <c r="W337" s="250"/>
    </row>
    <row r="338" spans="1:23" ht="15.75" customHeight="1">
      <c r="A338" s="250"/>
      <c r="B338" s="250"/>
      <c r="W338" s="250"/>
    </row>
    <row r="339" spans="1:23" ht="15.75" customHeight="1">
      <c r="A339" s="250"/>
      <c r="B339" s="250"/>
      <c r="W339" s="250"/>
    </row>
    <row r="340" spans="1:23" ht="15.75" customHeight="1">
      <c r="A340" s="250"/>
      <c r="B340" s="250"/>
      <c r="W340" s="250"/>
    </row>
    <row r="341" spans="1:23" ht="15.75" customHeight="1">
      <c r="A341" s="250"/>
      <c r="B341" s="250"/>
      <c r="W341" s="250"/>
    </row>
    <row r="342" spans="1:23" ht="15.75" customHeight="1">
      <c r="A342" s="250"/>
      <c r="B342" s="250"/>
      <c r="W342" s="250"/>
    </row>
    <row r="343" spans="1:23" ht="15.75" customHeight="1">
      <c r="A343" s="250"/>
      <c r="B343" s="250"/>
      <c r="W343" s="250"/>
    </row>
    <row r="344" spans="1:23" ht="15.75" customHeight="1">
      <c r="A344" s="250"/>
      <c r="B344" s="250"/>
      <c r="W344" s="250"/>
    </row>
    <row r="345" spans="1:23" ht="15.75" customHeight="1">
      <c r="A345" s="250"/>
      <c r="B345" s="250"/>
      <c r="W345" s="250"/>
    </row>
    <row r="346" spans="1:23" ht="15.75" customHeight="1">
      <c r="A346" s="250"/>
      <c r="B346" s="250"/>
      <c r="W346" s="250"/>
    </row>
    <row r="347" spans="1:23" ht="15.75" customHeight="1">
      <c r="A347" s="250"/>
      <c r="B347" s="250"/>
      <c r="W347" s="250"/>
    </row>
    <row r="348" spans="1:23" ht="15.75" customHeight="1">
      <c r="A348" s="250"/>
      <c r="B348" s="250"/>
      <c r="W348" s="250"/>
    </row>
    <row r="349" spans="1:23" ht="15.75" customHeight="1">
      <c r="A349" s="250"/>
      <c r="B349" s="250"/>
      <c r="W349" s="250"/>
    </row>
    <row r="350" spans="1:23" ht="15.75" customHeight="1">
      <c r="A350" s="250"/>
      <c r="B350" s="250"/>
      <c r="W350" s="250"/>
    </row>
    <row r="351" spans="1:23" ht="15.75" customHeight="1">
      <c r="A351" s="250"/>
      <c r="B351" s="250"/>
      <c r="W351" s="250"/>
    </row>
    <row r="352" spans="1:23" ht="15.75" customHeight="1">
      <c r="A352" s="250"/>
      <c r="B352" s="250"/>
      <c r="W352" s="250"/>
    </row>
    <row r="353" spans="1:23" ht="15.75" customHeight="1">
      <c r="A353" s="250"/>
      <c r="B353" s="250"/>
      <c r="W353" s="250"/>
    </row>
    <row r="354" spans="1:23" ht="15.75" customHeight="1">
      <c r="A354" s="250"/>
      <c r="B354" s="250"/>
      <c r="W354" s="250"/>
    </row>
    <row r="355" spans="1:23" ht="15.75" customHeight="1">
      <c r="A355" s="250"/>
      <c r="B355" s="250"/>
      <c r="W355" s="250"/>
    </row>
    <row r="356" spans="1:23" ht="15.75" customHeight="1">
      <c r="A356" s="250"/>
      <c r="B356" s="250"/>
      <c r="W356" s="250"/>
    </row>
    <row r="357" spans="1:23" ht="15.75" customHeight="1">
      <c r="A357" s="250"/>
      <c r="B357" s="250"/>
      <c r="W357" s="250"/>
    </row>
    <row r="358" spans="1:23" ht="15.75" customHeight="1">
      <c r="A358" s="250"/>
      <c r="B358" s="250"/>
      <c r="W358" s="250"/>
    </row>
    <row r="359" spans="1:23" ht="15.75" customHeight="1">
      <c r="A359" s="250"/>
      <c r="B359" s="250"/>
      <c r="W359" s="250"/>
    </row>
    <row r="360" spans="1:23" ht="15.75" customHeight="1">
      <c r="A360" s="250"/>
      <c r="B360" s="250"/>
      <c r="W360" s="250"/>
    </row>
    <row r="361" spans="1:23" ht="15.75" customHeight="1">
      <c r="A361" s="250"/>
      <c r="B361" s="250"/>
      <c r="W361" s="250"/>
    </row>
    <row r="362" spans="1:23" ht="15.75" customHeight="1">
      <c r="A362" s="250"/>
      <c r="B362" s="250"/>
      <c r="W362" s="250"/>
    </row>
    <row r="363" spans="1:23" ht="15.75" customHeight="1">
      <c r="A363" s="250"/>
      <c r="B363" s="250"/>
      <c r="W363" s="250"/>
    </row>
    <row r="364" spans="1:23" ht="15.75" customHeight="1">
      <c r="A364" s="250"/>
      <c r="B364" s="250"/>
      <c r="W364" s="250"/>
    </row>
    <row r="365" spans="1:23" ht="15.75" customHeight="1">
      <c r="A365" s="250"/>
      <c r="B365" s="250"/>
      <c r="W365" s="250"/>
    </row>
    <row r="366" spans="1:23" ht="15.75" customHeight="1">
      <c r="A366" s="250"/>
      <c r="B366" s="250"/>
      <c r="W366" s="250"/>
    </row>
    <row r="367" spans="1:23" ht="15.75" customHeight="1">
      <c r="A367" s="250"/>
      <c r="B367" s="250"/>
      <c r="W367" s="250"/>
    </row>
    <row r="368" spans="1:23" ht="15.75" customHeight="1">
      <c r="A368" s="250"/>
      <c r="B368" s="250"/>
      <c r="W368" s="250"/>
    </row>
    <row r="369" spans="1:23" ht="15.75" customHeight="1">
      <c r="A369" s="250"/>
      <c r="B369" s="250"/>
      <c r="W369" s="250"/>
    </row>
    <row r="370" spans="1:23" ht="15.75" customHeight="1">
      <c r="A370" s="250"/>
      <c r="B370" s="250"/>
      <c r="W370" s="250"/>
    </row>
    <row r="371" spans="1:23" ht="15.75" customHeight="1">
      <c r="A371" s="250"/>
      <c r="B371" s="250"/>
      <c r="W371" s="250"/>
    </row>
    <row r="372" spans="1:23" ht="15.75" customHeight="1">
      <c r="A372" s="250"/>
      <c r="B372" s="250"/>
      <c r="W372" s="250"/>
    </row>
    <row r="373" spans="1:23" ht="15.75" customHeight="1">
      <c r="A373" s="250"/>
      <c r="B373" s="250"/>
      <c r="W373" s="250"/>
    </row>
    <row r="374" spans="1:23" ht="15.75" customHeight="1">
      <c r="A374" s="250"/>
      <c r="B374" s="250"/>
      <c r="W374" s="250"/>
    </row>
    <row r="375" spans="1:23" ht="15.75" customHeight="1">
      <c r="A375" s="250"/>
      <c r="B375" s="250"/>
      <c r="W375" s="250"/>
    </row>
    <row r="376" spans="1:23" ht="15.75" customHeight="1">
      <c r="A376" s="250"/>
      <c r="B376" s="250"/>
      <c r="W376" s="250"/>
    </row>
    <row r="377" spans="1:23" ht="15.75" customHeight="1">
      <c r="A377" s="250"/>
      <c r="B377" s="250"/>
      <c r="W377" s="250"/>
    </row>
    <row r="378" spans="1:23" ht="15.75" customHeight="1">
      <c r="A378" s="250"/>
      <c r="B378" s="250"/>
      <c r="W378" s="250"/>
    </row>
    <row r="379" spans="1:23" ht="15.75" customHeight="1">
      <c r="A379" s="250"/>
      <c r="B379" s="250"/>
      <c r="W379" s="250"/>
    </row>
    <row r="380" spans="1:23" ht="15.75" customHeight="1">
      <c r="A380" s="250"/>
      <c r="B380" s="250"/>
      <c r="W380" s="250"/>
    </row>
    <row r="381" spans="1:23" ht="15.75" customHeight="1">
      <c r="A381" s="250"/>
      <c r="B381" s="250"/>
      <c r="W381" s="250"/>
    </row>
    <row r="382" spans="1:23" ht="15.75" customHeight="1">
      <c r="A382" s="250"/>
      <c r="B382" s="250"/>
      <c r="W382" s="250"/>
    </row>
    <row r="383" spans="1:23" ht="15.75" customHeight="1">
      <c r="A383" s="250"/>
      <c r="B383" s="250"/>
      <c r="W383" s="250"/>
    </row>
    <row r="384" spans="1:23" ht="15.75" customHeight="1">
      <c r="A384" s="250"/>
      <c r="B384" s="250"/>
      <c r="W384" s="250"/>
    </row>
    <row r="385" spans="1:23" ht="15.75" customHeight="1">
      <c r="A385" s="250"/>
      <c r="B385" s="250"/>
      <c r="W385" s="250"/>
    </row>
    <row r="386" spans="1:23" ht="15.75" customHeight="1">
      <c r="A386" s="250"/>
      <c r="B386" s="250"/>
      <c r="W386" s="250"/>
    </row>
    <row r="387" spans="1:23" ht="15.75" customHeight="1">
      <c r="A387" s="250"/>
      <c r="B387" s="250"/>
      <c r="W387" s="250"/>
    </row>
    <row r="388" spans="1:23" ht="15.75" customHeight="1">
      <c r="A388" s="250"/>
      <c r="B388" s="250"/>
      <c r="W388" s="250"/>
    </row>
    <row r="389" spans="1:23" ht="15.75" customHeight="1">
      <c r="A389" s="250"/>
      <c r="B389" s="250"/>
      <c r="W389" s="250"/>
    </row>
    <row r="390" spans="1:23" ht="15.75" customHeight="1">
      <c r="A390" s="250"/>
      <c r="B390" s="250"/>
      <c r="W390" s="250"/>
    </row>
    <row r="391" spans="1:23" ht="15.75" customHeight="1">
      <c r="A391" s="250"/>
      <c r="B391" s="250"/>
      <c r="W391" s="250"/>
    </row>
    <row r="392" spans="1:23" ht="15.75" customHeight="1">
      <c r="A392" s="250"/>
      <c r="B392" s="250"/>
      <c r="W392" s="250"/>
    </row>
    <row r="393" spans="1:23" ht="15.75" customHeight="1">
      <c r="A393" s="250"/>
      <c r="B393" s="250"/>
      <c r="W393" s="250"/>
    </row>
    <row r="394" spans="1:23" ht="15.75" customHeight="1">
      <c r="A394" s="250"/>
      <c r="B394" s="250"/>
      <c r="W394" s="250"/>
    </row>
    <row r="395" spans="1:23" ht="15.75" customHeight="1">
      <c r="A395" s="250"/>
      <c r="B395" s="250"/>
      <c r="W395" s="250"/>
    </row>
    <row r="396" spans="1:23" ht="15.75" customHeight="1">
      <c r="A396" s="250"/>
      <c r="B396" s="250"/>
      <c r="W396" s="250"/>
    </row>
    <row r="397" spans="1:23" ht="15.75" customHeight="1">
      <c r="A397" s="250"/>
      <c r="B397" s="250"/>
      <c r="W397" s="250"/>
    </row>
    <row r="398" spans="1:23" ht="15.75" customHeight="1">
      <c r="A398" s="250"/>
      <c r="B398" s="250"/>
      <c r="W398" s="250"/>
    </row>
    <row r="399" spans="1:23" ht="15.75" customHeight="1">
      <c r="A399" s="250"/>
      <c r="B399" s="250"/>
      <c r="W399" s="250"/>
    </row>
    <row r="400" spans="1:23" ht="15.75" customHeight="1">
      <c r="A400" s="250"/>
      <c r="B400" s="250"/>
      <c r="W400" s="250"/>
    </row>
    <row r="401" spans="1:23" ht="15.75" customHeight="1">
      <c r="A401" s="250"/>
      <c r="B401" s="250"/>
      <c r="W401" s="250"/>
    </row>
    <row r="402" spans="1:23" ht="15.75" customHeight="1">
      <c r="A402" s="250"/>
      <c r="B402" s="250"/>
      <c r="W402" s="250"/>
    </row>
    <row r="403" spans="1:23" ht="15.75" customHeight="1">
      <c r="A403" s="250"/>
      <c r="B403" s="250"/>
      <c r="W403" s="250"/>
    </row>
    <row r="404" spans="1:23" ht="15.75" customHeight="1">
      <c r="A404" s="250"/>
      <c r="B404" s="250"/>
      <c r="W404" s="250"/>
    </row>
    <row r="405" spans="1:23" ht="15.75" customHeight="1">
      <c r="A405" s="250"/>
      <c r="B405" s="250"/>
      <c r="W405" s="250"/>
    </row>
    <row r="406" spans="1:23" ht="15.75" customHeight="1">
      <c r="A406" s="250"/>
      <c r="B406" s="250"/>
      <c r="W406" s="250"/>
    </row>
    <row r="407" spans="1:23" ht="15.75" customHeight="1">
      <c r="A407" s="250"/>
      <c r="B407" s="250"/>
      <c r="W407" s="250"/>
    </row>
    <row r="408" spans="1:23" ht="15.75" customHeight="1">
      <c r="A408" s="250"/>
      <c r="B408" s="250"/>
      <c r="W408" s="250"/>
    </row>
    <row r="409" spans="1:23" ht="15.75" customHeight="1">
      <c r="A409" s="250"/>
      <c r="B409" s="250"/>
      <c r="W409" s="250"/>
    </row>
    <row r="410" spans="1:23" ht="15.75" customHeight="1">
      <c r="A410" s="250"/>
      <c r="B410" s="250"/>
      <c r="W410" s="250"/>
    </row>
    <row r="411" spans="1:23" ht="15.75" customHeight="1">
      <c r="A411" s="250"/>
      <c r="B411" s="250"/>
      <c r="W411" s="250"/>
    </row>
    <row r="412" spans="1:23" ht="15.75" customHeight="1">
      <c r="A412" s="250"/>
      <c r="B412" s="250"/>
      <c r="W412" s="250"/>
    </row>
    <row r="413" spans="1:23" ht="15.75" customHeight="1">
      <c r="A413" s="250"/>
      <c r="B413" s="250"/>
      <c r="W413" s="250"/>
    </row>
    <row r="414" spans="1:23" ht="15.75" customHeight="1">
      <c r="A414" s="250"/>
      <c r="B414" s="250"/>
      <c r="W414" s="250"/>
    </row>
    <row r="415" spans="1:23" ht="15.75" customHeight="1">
      <c r="A415" s="250"/>
      <c r="B415" s="250"/>
      <c r="W415" s="250"/>
    </row>
    <row r="416" spans="1:23" ht="15.75" customHeight="1">
      <c r="A416" s="250"/>
      <c r="B416" s="250"/>
      <c r="W416" s="250"/>
    </row>
    <row r="417" spans="1:23" ht="15.75" customHeight="1">
      <c r="A417" s="250"/>
      <c r="B417" s="250"/>
      <c r="W417" s="250"/>
    </row>
    <row r="418" spans="1:23" ht="15.75" customHeight="1">
      <c r="A418" s="250"/>
      <c r="B418" s="250"/>
      <c r="W418" s="250"/>
    </row>
    <row r="419" spans="1:23" ht="15.75" customHeight="1">
      <c r="A419" s="250"/>
      <c r="B419" s="250"/>
      <c r="W419" s="250"/>
    </row>
    <row r="420" spans="1:23" ht="15.75" customHeight="1">
      <c r="A420" s="250"/>
      <c r="B420" s="250"/>
      <c r="W420" s="250"/>
    </row>
    <row r="421" spans="1:23" ht="15.75" customHeight="1">
      <c r="A421" s="250"/>
      <c r="B421" s="250"/>
      <c r="W421" s="250"/>
    </row>
    <row r="422" spans="1:23" ht="15.75" customHeight="1">
      <c r="A422" s="250"/>
      <c r="B422" s="250"/>
      <c r="W422" s="250"/>
    </row>
    <row r="423" spans="1:23" ht="15.75" customHeight="1">
      <c r="A423" s="250"/>
      <c r="B423" s="250"/>
      <c r="W423" s="250"/>
    </row>
    <row r="424" spans="1:23" ht="15.75" customHeight="1">
      <c r="A424" s="250"/>
      <c r="B424" s="250"/>
      <c r="W424" s="250"/>
    </row>
    <row r="425" spans="1:23" ht="15.75" customHeight="1">
      <c r="A425" s="250"/>
      <c r="B425" s="250"/>
      <c r="W425" s="250"/>
    </row>
    <row r="426" spans="1:23" ht="15.75" customHeight="1">
      <c r="A426" s="250"/>
      <c r="B426" s="250"/>
      <c r="W426" s="250"/>
    </row>
    <row r="427" spans="1:23" ht="15.75" customHeight="1">
      <c r="A427" s="250"/>
      <c r="B427" s="250"/>
      <c r="W427" s="250"/>
    </row>
    <row r="428" spans="1:23" ht="15.75" customHeight="1">
      <c r="A428" s="250"/>
      <c r="B428" s="250"/>
      <c r="W428" s="250"/>
    </row>
    <row r="429" spans="1:23" ht="15.75" customHeight="1">
      <c r="A429" s="250"/>
      <c r="B429" s="250"/>
      <c r="W429" s="250"/>
    </row>
    <row r="430" spans="1:23" ht="15.75" customHeight="1">
      <c r="A430" s="250"/>
      <c r="B430" s="250"/>
      <c r="W430" s="250"/>
    </row>
    <row r="431" spans="1:23" ht="15.75" customHeight="1">
      <c r="A431" s="250"/>
      <c r="B431" s="250"/>
      <c r="W431" s="250"/>
    </row>
    <row r="432" spans="1:23" ht="15.75" customHeight="1">
      <c r="A432" s="250"/>
      <c r="B432" s="250"/>
      <c r="W432" s="250"/>
    </row>
    <row r="433" spans="1:23" ht="15.75" customHeight="1">
      <c r="A433" s="250"/>
      <c r="B433" s="250"/>
      <c r="W433" s="250"/>
    </row>
    <row r="434" spans="1:23" ht="15.75" customHeight="1">
      <c r="A434" s="250"/>
      <c r="B434" s="250"/>
      <c r="W434" s="250"/>
    </row>
    <row r="435" spans="1:23" ht="15.75" customHeight="1">
      <c r="A435" s="250"/>
      <c r="B435" s="250"/>
      <c r="W435" s="250"/>
    </row>
    <row r="436" spans="1:23" ht="15.75" customHeight="1">
      <c r="A436" s="250"/>
      <c r="B436" s="250"/>
      <c r="W436" s="250"/>
    </row>
    <row r="437" spans="1:23" ht="15.75" customHeight="1">
      <c r="A437" s="250"/>
      <c r="B437" s="250"/>
      <c r="W437" s="250"/>
    </row>
    <row r="438" spans="1:23" ht="15.75" customHeight="1">
      <c r="A438" s="250"/>
      <c r="B438" s="250"/>
      <c r="W438" s="250"/>
    </row>
    <row r="439" spans="1:23" ht="15.75" customHeight="1">
      <c r="A439" s="250"/>
      <c r="B439" s="250"/>
      <c r="W439" s="250"/>
    </row>
    <row r="440" spans="1:23" ht="15.75" customHeight="1">
      <c r="A440" s="250"/>
      <c r="B440" s="250"/>
      <c r="W440" s="250"/>
    </row>
    <row r="441" spans="1:23" ht="15.75" customHeight="1">
      <c r="A441" s="250"/>
      <c r="B441" s="250"/>
      <c r="W441" s="250"/>
    </row>
    <row r="442" spans="1:23" ht="15.75" customHeight="1">
      <c r="A442" s="250"/>
      <c r="B442" s="250"/>
      <c r="W442" s="250"/>
    </row>
    <row r="443" spans="1:23" ht="15.75" customHeight="1">
      <c r="A443" s="250"/>
      <c r="B443" s="250"/>
      <c r="W443" s="250"/>
    </row>
    <row r="444" spans="1:23" ht="15.75" customHeight="1">
      <c r="A444" s="250"/>
      <c r="B444" s="250"/>
      <c r="W444" s="250"/>
    </row>
    <row r="445" spans="1:23" ht="15.75" customHeight="1">
      <c r="A445" s="250"/>
      <c r="B445" s="250"/>
      <c r="W445" s="250"/>
    </row>
    <row r="446" spans="1:23" ht="15.75" customHeight="1">
      <c r="A446" s="250"/>
      <c r="B446" s="250"/>
      <c r="W446" s="250"/>
    </row>
    <row r="447" spans="1:23" ht="15.75" customHeight="1">
      <c r="A447" s="250"/>
      <c r="B447" s="250"/>
      <c r="W447" s="250"/>
    </row>
    <row r="448" spans="1:23" ht="15.75" customHeight="1">
      <c r="A448" s="250"/>
      <c r="B448" s="250"/>
      <c r="W448" s="250"/>
    </row>
    <row r="449" spans="1:23" ht="15.75" customHeight="1">
      <c r="A449" s="250"/>
      <c r="B449" s="250"/>
      <c r="W449" s="250"/>
    </row>
    <row r="450" spans="1:23" ht="15.75" customHeight="1">
      <c r="A450" s="250"/>
      <c r="B450" s="250"/>
      <c r="W450" s="250"/>
    </row>
    <row r="451" spans="1:23" ht="15.75" customHeight="1">
      <c r="A451" s="250"/>
      <c r="B451" s="250"/>
      <c r="W451" s="250"/>
    </row>
    <row r="452" spans="1:23" ht="15.75" customHeight="1">
      <c r="A452" s="250"/>
      <c r="B452" s="250"/>
      <c r="W452" s="250"/>
    </row>
    <row r="453" spans="1:23" ht="15.75" customHeight="1">
      <c r="A453" s="250"/>
      <c r="B453" s="250"/>
      <c r="W453" s="250"/>
    </row>
    <row r="454" spans="1:23" ht="15.75" customHeight="1">
      <c r="A454" s="250"/>
      <c r="B454" s="250"/>
      <c r="W454" s="250"/>
    </row>
    <row r="455" spans="1:23" ht="15.75" customHeight="1">
      <c r="A455" s="250"/>
      <c r="B455" s="250"/>
      <c r="W455" s="250"/>
    </row>
    <row r="456" spans="1:23" ht="15.75" customHeight="1">
      <c r="A456" s="250"/>
      <c r="B456" s="250"/>
      <c r="W456" s="250"/>
    </row>
    <row r="457" spans="1:23" ht="15.75" customHeight="1">
      <c r="A457" s="250"/>
      <c r="B457" s="250"/>
      <c r="W457" s="250"/>
    </row>
    <row r="458" spans="1:23" ht="15.75" customHeight="1">
      <c r="A458" s="250"/>
      <c r="B458" s="250"/>
      <c r="W458" s="250"/>
    </row>
    <row r="459" spans="1:23" ht="15.75" customHeight="1">
      <c r="A459" s="250"/>
      <c r="B459" s="250"/>
      <c r="W459" s="250"/>
    </row>
    <row r="460" spans="1:23" ht="15.75" customHeight="1">
      <c r="A460" s="250"/>
      <c r="B460" s="250"/>
      <c r="W460" s="250"/>
    </row>
    <row r="461" spans="1:23" ht="15.75" customHeight="1">
      <c r="A461" s="250"/>
      <c r="B461" s="250"/>
      <c r="W461" s="250"/>
    </row>
    <row r="462" spans="1:23" ht="15.75" customHeight="1">
      <c r="A462" s="250"/>
      <c r="B462" s="250"/>
      <c r="W462" s="250"/>
    </row>
    <row r="463" spans="1:23" ht="15.75" customHeight="1">
      <c r="A463" s="250"/>
      <c r="B463" s="250"/>
      <c r="W463" s="250"/>
    </row>
    <row r="464" spans="1:23" ht="15.75" customHeight="1">
      <c r="A464" s="250"/>
      <c r="B464" s="250"/>
      <c r="W464" s="250"/>
    </row>
    <row r="465" spans="1:23" ht="15.75" customHeight="1">
      <c r="A465" s="250"/>
      <c r="B465" s="250"/>
      <c r="W465" s="250"/>
    </row>
    <row r="466" spans="1:23" ht="15.75" customHeight="1">
      <c r="A466" s="250"/>
      <c r="B466" s="250"/>
      <c r="W466" s="250"/>
    </row>
    <row r="467" spans="1:23" ht="15.75" customHeight="1">
      <c r="A467" s="250"/>
      <c r="B467" s="250"/>
      <c r="W467" s="250"/>
    </row>
    <row r="468" spans="1:23" ht="15.75" customHeight="1">
      <c r="A468" s="250"/>
      <c r="B468" s="250"/>
      <c r="W468" s="250"/>
    </row>
    <row r="469" spans="1:23" ht="15.75" customHeight="1">
      <c r="A469" s="250"/>
      <c r="B469" s="250"/>
      <c r="W469" s="250"/>
    </row>
    <row r="470" spans="1:23" ht="15.75" customHeight="1">
      <c r="A470" s="250"/>
      <c r="B470" s="250"/>
      <c r="W470" s="250"/>
    </row>
    <row r="471" spans="1:23" ht="15.75" customHeight="1">
      <c r="A471" s="250"/>
      <c r="B471" s="250"/>
      <c r="W471" s="250"/>
    </row>
    <row r="472" spans="1:23" ht="15.75" customHeight="1">
      <c r="A472" s="250"/>
      <c r="B472" s="250"/>
      <c r="W472" s="250"/>
    </row>
    <row r="473" spans="1:23" ht="15.75" customHeight="1">
      <c r="A473" s="250"/>
      <c r="B473" s="250"/>
      <c r="W473" s="250"/>
    </row>
    <row r="474" spans="1:23" ht="15.75" customHeight="1">
      <c r="A474" s="250"/>
      <c r="B474" s="250"/>
      <c r="W474" s="250"/>
    </row>
    <row r="475" spans="1:23" ht="15.75" customHeight="1">
      <c r="A475" s="250"/>
      <c r="B475" s="250"/>
      <c r="W475" s="250"/>
    </row>
    <row r="476" spans="1:23" ht="15.75" customHeight="1">
      <c r="A476" s="250"/>
      <c r="B476" s="250"/>
      <c r="W476" s="250"/>
    </row>
    <row r="477" spans="1:23" ht="15.75" customHeight="1">
      <c r="A477" s="250"/>
      <c r="B477" s="250"/>
      <c r="W477" s="250"/>
    </row>
    <row r="478" spans="1:23" ht="15.75" customHeight="1">
      <c r="A478" s="250"/>
      <c r="B478" s="250"/>
      <c r="W478" s="250"/>
    </row>
    <row r="479" spans="1:23" ht="15.75" customHeight="1">
      <c r="A479" s="250"/>
      <c r="B479" s="250"/>
      <c r="W479" s="250"/>
    </row>
    <row r="480" spans="1:23" ht="15.75" customHeight="1">
      <c r="A480" s="250"/>
      <c r="B480" s="250"/>
      <c r="W480" s="250"/>
    </row>
    <row r="481" spans="1:23" ht="15.75" customHeight="1">
      <c r="A481" s="250"/>
      <c r="B481" s="250"/>
      <c r="W481" s="250"/>
    </row>
    <row r="482" spans="1:23" ht="15.75" customHeight="1">
      <c r="A482" s="250"/>
      <c r="B482" s="250"/>
      <c r="W482" s="250"/>
    </row>
    <row r="483" spans="1:23" ht="15.75" customHeight="1">
      <c r="A483" s="250"/>
      <c r="B483" s="250"/>
      <c r="W483" s="250"/>
    </row>
    <row r="484" spans="1:23" ht="15.75" customHeight="1">
      <c r="A484" s="250"/>
      <c r="B484" s="250"/>
      <c r="W484" s="250"/>
    </row>
    <row r="485" spans="1:23" ht="15.75" customHeight="1">
      <c r="A485" s="250"/>
      <c r="B485" s="250"/>
      <c r="W485" s="250"/>
    </row>
    <row r="486" spans="1:23" ht="15.75" customHeight="1">
      <c r="A486" s="250"/>
      <c r="B486" s="250"/>
      <c r="W486" s="250"/>
    </row>
    <row r="487" spans="1:23" ht="15.75" customHeight="1">
      <c r="A487" s="250"/>
      <c r="B487" s="250"/>
      <c r="W487" s="250"/>
    </row>
    <row r="488" spans="1:23" ht="15.75" customHeight="1">
      <c r="A488" s="250"/>
      <c r="B488" s="250"/>
      <c r="W488" s="250"/>
    </row>
    <row r="489" spans="1:23" ht="15.75" customHeight="1">
      <c r="A489" s="250"/>
      <c r="B489" s="250"/>
      <c r="W489" s="250"/>
    </row>
    <row r="490" spans="1:23" ht="15.75" customHeight="1">
      <c r="A490" s="250"/>
      <c r="B490" s="250"/>
      <c r="W490" s="250"/>
    </row>
    <row r="491" spans="1:23" ht="15.75" customHeight="1">
      <c r="A491" s="250"/>
      <c r="B491" s="250"/>
      <c r="W491" s="250"/>
    </row>
    <row r="492" spans="1:23" ht="15.75" customHeight="1">
      <c r="A492" s="250"/>
      <c r="B492" s="250"/>
      <c r="W492" s="250"/>
    </row>
    <row r="493" spans="1:23" ht="15.75" customHeight="1">
      <c r="A493" s="250"/>
      <c r="B493" s="250"/>
      <c r="W493" s="250"/>
    </row>
    <row r="494" spans="1:23" ht="15.75" customHeight="1">
      <c r="A494" s="250"/>
      <c r="B494" s="250"/>
      <c r="W494" s="250"/>
    </row>
    <row r="495" spans="1:23" ht="15.75" customHeight="1">
      <c r="A495" s="250"/>
      <c r="B495" s="250"/>
      <c r="W495" s="250"/>
    </row>
    <row r="496" spans="1:23" ht="15.75" customHeight="1">
      <c r="A496" s="250"/>
      <c r="B496" s="250"/>
      <c r="W496" s="250"/>
    </row>
    <row r="497" spans="1:23" ht="15.75" customHeight="1">
      <c r="A497" s="250"/>
      <c r="B497" s="250"/>
      <c r="W497" s="250"/>
    </row>
    <row r="498" spans="1:23" ht="15.75" customHeight="1">
      <c r="A498" s="250"/>
      <c r="B498" s="250"/>
      <c r="W498" s="250"/>
    </row>
    <row r="499" spans="1:23" ht="15.75" customHeight="1">
      <c r="A499" s="250"/>
      <c r="B499" s="250"/>
      <c r="W499" s="250"/>
    </row>
    <row r="500" spans="1:23" ht="15.75" customHeight="1">
      <c r="A500" s="250"/>
      <c r="B500" s="250"/>
      <c r="W500" s="250"/>
    </row>
    <row r="501" spans="1:23" ht="15.75" customHeight="1">
      <c r="A501" s="250"/>
      <c r="B501" s="250"/>
      <c r="W501" s="250"/>
    </row>
    <row r="502" spans="1:23" ht="15.75" customHeight="1">
      <c r="A502" s="250"/>
      <c r="B502" s="250"/>
      <c r="W502" s="250"/>
    </row>
    <row r="503" spans="1:23" ht="15.75" customHeight="1">
      <c r="A503" s="250"/>
      <c r="B503" s="250"/>
      <c r="W503" s="250"/>
    </row>
    <row r="504" spans="1:23" ht="15.75" customHeight="1">
      <c r="A504" s="250"/>
      <c r="B504" s="250"/>
      <c r="W504" s="250"/>
    </row>
    <row r="505" spans="1:23" ht="15.75" customHeight="1">
      <c r="A505" s="250"/>
      <c r="B505" s="250"/>
      <c r="W505" s="250"/>
    </row>
    <row r="506" spans="1:23" ht="15.75" customHeight="1">
      <c r="A506" s="250"/>
      <c r="B506" s="250"/>
      <c r="W506" s="250"/>
    </row>
    <row r="507" spans="1:23" ht="15.75" customHeight="1">
      <c r="A507" s="250"/>
      <c r="B507" s="250"/>
      <c r="W507" s="250"/>
    </row>
    <row r="508" spans="1:23" ht="15.75" customHeight="1">
      <c r="A508" s="250"/>
      <c r="B508" s="250"/>
      <c r="W508" s="250"/>
    </row>
    <row r="509" spans="1:23" ht="15.75" customHeight="1">
      <c r="A509" s="250"/>
      <c r="B509" s="250"/>
      <c r="W509" s="250"/>
    </row>
    <row r="510" spans="1:23" ht="15.75" customHeight="1">
      <c r="A510" s="250"/>
      <c r="B510" s="250"/>
      <c r="W510" s="250"/>
    </row>
    <row r="511" spans="1:23" ht="15.75" customHeight="1">
      <c r="A511" s="250"/>
      <c r="B511" s="250"/>
      <c r="W511" s="250"/>
    </row>
    <row r="512" spans="1:23" ht="15.75" customHeight="1">
      <c r="A512" s="250"/>
      <c r="B512" s="250"/>
      <c r="W512" s="250"/>
    </row>
    <row r="513" spans="1:23" ht="15.75" customHeight="1">
      <c r="A513" s="250"/>
      <c r="B513" s="250"/>
      <c r="W513" s="250"/>
    </row>
    <row r="514" spans="1:23" ht="15.75" customHeight="1">
      <c r="A514" s="250"/>
      <c r="B514" s="250"/>
      <c r="W514" s="250"/>
    </row>
    <row r="515" spans="1:23" ht="15.75" customHeight="1">
      <c r="A515" s="250"/>
      <c r="B515" s="250"/>
      <c r="W515" s="250"/>
    </row>
    <row r="516" spans="1:23" ht="15.75" customHeight="1">
      <c r="A516" s="250"/>
      <c r="B516" s="250"/>
      <c r="W516" s="250"/>
    </row>
    <row r="517" spans="1:23" ht="15.75" customHeight="1">
      <c r="A517" s="250"/>
      <c r="B517" s="250"/>
      <c r="W517" s="250"/>
    </row>
    <row r="518" spans="1:23" ht="15.75" customHeight="1">
      <c r="A518" s="250"/>
      <c r="B518" s="250"/>
      <c r="W518" s="250"/>
    </row>
    <row r="519" spans="1:23" ht="15.75" customHeight="1">
      <c r="A519" s="250"/>
      <c r="B519" s="250"/>
      <c r="W519" s="250"/>
    </row>
    <row r="520" spans="1:23" ht="15.75" customHeight="1">
      <c r="A520" s="250"/>
      <c r="B520" s="250"/>
      <c r="W520" s="250"/>
    </row>
    <row r="521" spans="1:23" ht="15.75" customHeight="1">
      <c r="A521" s="250"/>
      <c r="B521" s="250"/>
      <c r="W521" s="250"/>
    </row>
    <row r="522" spans="1:23" ht="15.75" customHeight="1">
      <c r="A522" s="250"/>
      <c r="B522" s="250"/>
      <c r="W522" s="250"/>
    </row>
    <row r="523" spans="1:23" ht="15.75" customHeight="1">
      <c r="A523" s="250"/>
      <c r="B523" s="250"/>
      <c r="W523" s="250"/>
    </row>
    <row r="524" spans="1:23" ht="15.75" customHeight="1">
      <c r="A524" s="250"/>
      <c r="B524" s="250"/>
      <c r="W524" s="250"/>
    </row>
    <row r="525" spans="1:23" ht="15.75" customHeight="1">
      <c r="A525" s="250"/>
      <c r="B525" s="250"/>
      <c r="W525" s="250"/>
    </row>
    <row r="526" spans="1:23" ht="15.75" customHeight="1">
      <c r="A526" s="250"/>
      <c r="B526" s="250"/>
      <c r="W526" s="250"/>
    </row>
    <row r="527" spans="1:23" ht="15.75" customHeight="1">
      <c r="A527" s="250"/>
      <c r="B527" s="250"/>
      <c r="W527" s="250"/>
    </row>
    <row r="528" spans="1:23" ht="15.75" customHeight="1">
      <c r="A528" s="250"/>
      <c r="B528" s="250"/>
      <c r="W528" s="250"/>
    </row>
    <row r="529" spans="1:23" ht="15.75" customHeight="1">
      <c r="A529" s="250"/>
      <c r="B529" s="250"/>
      <c r="W529" s="250"/>
    </row>
    <row r="530" spans="1:23" ht="15.75" customHeight="1">
      <c r="A530" s="250"/>
      <c r="B530" s="250"/>
      <c r="W530" s="250"/>
    </row>
    <row r="531" spans="1:23" ht="15.75" customHeight="1">
      <c r="A531" s="250"/>
      <c r="B531" s="250"/>
      <c r="W531" s="250"/>
    </row>
    <row r="532" spans="1:23" ht="15.75" customHeight="1">
      <c r="A532" s="250"/>
      <c r="B532" s="250"/>
      <c r="W532" s="250"/>
    </row>
    <row r="533" spans="1:23" ht="15.75" customHeight="1">
      <c r="A533" s="250"/>
      <c r="B533" s="250"/>
      <c r="W533" s="250"/>
    </row>
    <row r="534" spans="1:23" ht="15.75" customHeight="1">
      <c r="A534" s="250"/>
      <c r="B534" s="250"/>
      <c r="W534" s="250"/>
    </row>
    <row r="535" spans="1:23" ht="15.75" customHeight="1">
      <c r="A535" s="250"/>
      <c r="B535" s="250"/>
      <c r="W535" s="250"/>
    </row>
    <row r="536" spans="1:23" ht="15.75" customHeight="1">
      <c r="A536" s="250"/>
      <c r="B536" s="250"/>
      <c r="W536" s="250"/>
    </row>
    <row r="537" spans="1:23" ht="15.75" customHeight="1">
      <c r="A537" s="250"/>
      <c r="B537" s="250"/>
      <c r="W537" s="250"/>
    </row>
    <row r="538" spans="1:23" ht="15.75" customHeight="1">
      <c r="A538" s="250"/>
      <c r="B538" s="250"/>
      <c r="W538" s="250"/>
    </row>
    <row r="539" spans="1:23" ht="15.75" customHeight="1">
      <c r="A539" s="250"/>
      <c r="B539" s="250"/>
      <c r="W539" s="250"/>
    </row>
    <row r="540" spans="1:23" ht="15.75" customHeight="1">
      <c r="A540" s="250"/>
      <c r="B540" s="250"/>
      <c r="W540" s="250"/>
    </row>
    <row r="541" spans="1:23" ht="15.75" customHeight="1">
      <c r="A541" s="250"/>
      <c r="B541" s="250"/>
      <c r="W541" s="250"/>
    </row>
    <row r="542" spans="1:23" ht="15.75" customHeight="1">
      <c r="A542" s="250"/>
      <c r="B542" s="250"/>
      <c r="W542" s="250"/>
    </row>
    <row r="543" spans="1:23" ht="15.75" customHeight="1">
      <c r="A543" s="250"/>
      <c r="B543" s="250"/>
      <c r="W543" s="250"/>
    </row>
    <row r="544" spans="1:23" ht="15.75" customHeight="1">
      <c r="A544" s="250"/>
      <c r="B544" s="250"/>
      <c r="W544" s="250"/>
    </row>
    <row r="545" spans="1:23" ht="15.75" customHeight="1">
      <c r="A545" s="250"/>
      <c r="B545" s="250"/>
      <c r="W545" s="250"/>
    </row>
    <row r="546" spans="1:23" ht="15.75" customHeight="1">
      <c r="A546" s="250"/>
      <c r="B546" s="250"/>
      <c r="W546" s="250"/>
    </row>
    <row r="547" spans="1:23" ht="15.75" customHeight="1">
      <c r="A547" s="250"/>
      <c r="B547" s="250"/>
      <c r="W547" s="250"/>
    </row>
    <row r="548" spans="1:23" ht="15.75" customHeight="1">
      <c r="A548" s="250"/>
      <c r="B548" s="250"/>
      <c r="W548" s="250"/>
    </row>
    <row r="549" spans="1:23" ht="15.75" customHeight="1">
      <c r="A549" s="250"/>
      <c r="B549" s="250"/>
      <c r="W549" s="250"/>
    </row>
    <row r="550" spans="1:23" ht="15.75" customHeight="1">
      <c r="A550" s="250"/>
      <c r="B550" s="250"/>
      <c r="W550" s="250"/>
    </row>
    <row r="551" spans="1:23" ht="15.75" customHeight="1">
      <c r="A551" s="250"/>
      <c r="B551" s="250"/>
      <c r="W551" s="250"/>
    </row>
    <row r="552" spans="1:23" ht="15.75" customHeight="1">
      <c r="A552" s="250"/>
      <c r="B552" s="250"/>
      <c r="W552" s="250"/>
    </row>
    <row r="553" spans="1:23" ht="15.75" customHeight="1">
      <c r="A553" s="250"/>
      <c r="B553" s="250"/>
      <c r="W553" s="250"/>
    </row>
    <row r="554" spans="1:23" ht="15.75" customHeight="1">
      <c r="A554" s="250"/>
      <c r="B554" s="250"/>
      <c r="W554" s="250"/>
    </row>
    <row r="555" spans="1:23" ht="15.75" customHeight="1">
      <c r="A555" s="250"/>
      <c r="B555" s="250"/>
      <c r="W555" s="250"/>
    </row>
    <row r="556" spans="1:23" ht="15.75" customHeight="1">
      <c r="A556" s="250"/>
      <c r="B556" s="250"/>
      <c r="W556" s="250"/>
    </row>
    <row r="557" spans="1:23" ht="15.75" customHeight="1">
      <c r="A557" s="250"/>
      <c r="B557" s="250"/>
      <c r="W557" s="250"/>
    </row>
    <row r="558" spans="1:23" ht="15.75" customHeight="1">
      <c r="A558" s="250"/>
      <c r="B558" s="250"/>
      <c r="W558" s="250"/>
    </row>
    <row r="559" spans="1:23" ht="15.75" customHeight="1">
      <c r="A559" s="250"/>
      <c r="B559" s="250"/>
      <c r="W559" s="250"/>
    </row>
    <row r="560" spans="1:23" ht="15.75" customHeight="1">
      <c r="A560" s="250"/>
      <c r="B560" s="250"/>
      <c r="W560" s="250"/>
    </row>
    <row r="561" spans="1:23" ht="15.75" customHeight="1">
      <c r="A561" s="250"/>
      <c r="B561" s="250"/>
      <c r="W561" s="250"/>
    </row>
    <row r="562" spans="1:23" ht="15.75" customHeight="1">
      <c r="A562" s="250"/>
      <c r="B562" s="250"/>
      <c r="W562" s="250"/>
    </row>
    <row r="563" spans="1:23" ht="15.75" customHeight="1">
      <c r="A563" s="250"/>
      <c r="B563" s="250"/>
      <c r="W563" s="250"/>
    </row>
    <row r="564" spans="1:23" ht="15.75" customHeight="1">
      <c r="A564" s="250"/>
      <c r="B564" s="250"/>
      <c r="W564" s="250"/>
    </row>
    <row r="565" spans="1:23" ht="15.75" customHeight="1">
      <c r="A565" s="250"/>
      <c r="B565" s="250"/>
      <c r="W565" s="250"/>
    </row>
    <row r="566" spans="1:23" ht="15.75" customHeight="1">
      <c r="A566" s="250"/>
      <c r="B566" s="250"/>
      <c r="W566" s="250"/>
    </row>
    <row r="567" spans="1:23" ht="15.75" customHeight="1">
      <c r="A567" s="250"/>
      <c r="B567" s="250"/>
      <c r="W567" s="250"/>
    </row>
    <row r="568" spans="1:23" ht="15.75" customHeight="1">
      <c r="A568" s="250"/>
      <c r="B568" s="250"/>
      <c r="W568" s="250"/>
    </row>
    <row r="569" spans="1:23" ht="15.75" customHeight="1">
      <c r="A569" s="250"/>
      <c r="B569" s="250"/>
      <c r="W569" s="250"/>
    </row>
    <row r="570" spans="1:23" ht="15.75" customHeight="1">
      <c r="A570" s="250"/>
      <c r="B570" s="250"/>
      <c r="W570" s="250"/>
    </row>
    <row r="571" spans="1:23" ht="15.75" customHeight="1">
      <c r="A571" s="250"/>
      <c r="B571" s="250"/>
      <c r="W571" s="250"/>
    </row>
    <row r="572" spans="1:23" ht="15.75" customHeight="1">
      <c r="A572" s="250"/>
      <c r="B572" s="250"/>
      <c r="W572" s="250"/>
    </row>
    <row r="573" spans="1:23" ht="15.75" customHeight="1">
      <c r="A573" s="250"/>
      <c r="B573" s="250"/>
      <c r="W573" s="250"/>
    </row>
    <row r="574" spans="1:23" ht="15.75" customHeight="1">
      <c r="A574" s="250"/>
      <c r="B574" s="250"/>
      <c r="W574" s="250"/>
    </row>
    <row r="575" spans="1:23" ht="15.75" customHeight="1">
      <c r="A575" s="250"/>
      <c r="B575" s="250"/>
      <c r="W575" s="250"/>
    </row>
    <row r="576" spans="1:23" ht="15.75" customHeight="1">
      <c r="A576" s="250"/>
      <c r="B576" s="250"/>
      <c r="W576" s="250"/>
    </row>
    <row r="577" spans="1:23" ht="15.75" customHeight="1">
      <c r="A577" s="250"/>
      <c r="B577" s="250"/>
      <c r="W577" s="250"/>
    </row>
    <row r="578" spans="1:23" ht="15.75" customHeight="1">
      <c r="A578" s="250"/>
      <c r="B578" s="250"/>
      <c r="W578" s="250"/>
    </row>
    <row r="579" spans="1:23" ht="15.75" customHeight="1">
      <c r="A579" s="250"/>
      <c r="B579" s="250"/>
      <c r="W579" s="250"/>
    </row>
    <row r="580" spans="1:23" ht="15.75" customHeight="1">
      <c r="A580" s="250"/>
      <c r="B580" s="250"/>
      <c r="W580" s="250"/>
    </row>
    <row r="581" spans="1:23" ht="15.75" customHeight="1">
      <c r="A581" s="250"/>
      <c r="B581" s="250"/>
      <c r="W581" s="250"/>
    </row>
    <row r="582" spans="1:23" ht="15.75" customHeight="1">
      <c r="A582" s="250"/>
      <c r="B582" s="250"/>
      <c r="W582" s="250"/>
    </row>
    <row r="583" spans="1:23" ht="15.75" customHeight="1">
      <c r="A583" s="250"/>
      <c r="B583" s="250"/>
      <c r="W583" s="250"/>
    </row>
    <row r="584" spans="1:23" ht="15.75" customHeight="1">
      <c r="A584" s="250"/>
      <c r="B584" s="250"/>
      <c r="W584" s="250"/>
    </row>
    <row r="585" spans="1:23" ht="15.75" customHeight="1">
      <c r="A585" s="250"/>
      <c r="B585" s="250"/>
      <c r="W585" s="250"/>
    </row>
    <row r="586" spans="1:23" ht="15.75" customHeight="1">
      <c r="A586" s="250"/>
      <c r="B586" s="250"/>
      <c r="W586" s="250"/>
    </row>
    <row r="587" spans="1:23" ht="15.75" customHeight="1">
      <c r="A587" s="250"/>
      <c r="B587" s="250"/>
      <c r="W587" s="250"/>
    </row>
    <row r="588" spans="1:23" ht="15.75" customHeight="1">
      <c r="A588" s="250"/>
      <c r="B588" s="250"/>
      <c r="W588" s="250"/>
    </row>
    <row r="589" spans="1:23" ht="15.75" customHeight="1">
      <c r="A589" s="250"/>
      <c r="B589" s="250"/>
      <c r="W589" s="250"/>
    </row>
    <row r="590" spans="1:23" ht="15.75" customHeight="1">
      <c r="A590" s="250"/>
      <c r="B590" s="250"/>
      <c r="W590" s="250"/>
    </row>
    <row r="591" spans="1:23" ht="15.75" customHeight="1">
      <c r="A591" s="250"/>
      <c r="B591" s="250"/>
      <c r="W591" s="250"/>
    </row>
    <row r="592" spans="1:23" ht="15.75" customHeight="1">
      <c r="A592" s="250"/>
      <c r="B592" s="250"/>
      <c r="W592" s="250"/>
    </row>
    <row r="593" spans="1:23" ht="15.75" customHeight="1">
      <c r="A593" s="250"/>
      <c r="B593" s="250"/>
      <c r="W593" s="250"/>
    </row>
    <row r="594" spans="1:23" ht="15.75" customHeight="1">
      <c r="A594" s="250"/>
      <c r="B594" s="250"/>
      <c r="W594" s="250"/>
    </row>
    <row r="595" spans="1:23" ht="15.75" customHeight="1">
      <c r="A595" s="250"/>
      <c r="B595" s="250"/>
      <c r="W595" s="250"/>
    </row>
    <row r="596" spans="1:23" ht="15.75" customHeight="1">
      <c r="A596" s="250"/>
      <c r="B596" s="250"/>
      <c r="W596" s="250"/>
    </row>
    <row r="597" spans="1:23" ht="15.75" customHeight="1">
      <c r="A597" s="250"/>
      <c r="B597" s="250"/>
      <c r="W597" s="250"/>
    </row>
    <row r="598" spans="1:23" ht="15.75" customHeight="1">
      <c r="A598" s="250"/>
      <c r="B598" s="250"/>
      <c r="W598" s="250"/>
    </row>
    <row r="599" spans="1:23" ht="15.75" customHeight="1">
      <c r="A599" s="250"/>
      <c r="B599" s="250"/>
      <c r="W599" s="250"/>
    </row>
    <row r="600" spans="1:23" ht="15.75" customHeight="1">
      <c r="A600" s="250"/>
      <c r="B600" s="250"/>
      <c r="W600" s="250"/>
    </row>
    <row r="601" spans="1:23" ht="15.75" customHeight="1">
      <c r="A601" s="250"/>
      <c r="B601" s="250"/>
      <c r="W601" s="250"/>
    </row>
    <row r="602" spans="1:23" ht="15.75" customHeight="1">
      <c r="A602" s="250"/>
      <c r="B602" s="250"/>
      <c r="W602" s="250"/>
    </row>
    <row r="603" spans="1:23" ht="15.75" customHeight="1">
      <c r="A603" s="250"/>
      <c r="B603" s="250"/>
      <c r="W603" s="250"/>
    </row>
    <row r="604" spans="1:23" ht="15.75" customHeight="1">
      <c r="A604" s="250"/>
      <c r="B604" s="250"/>
      <c r="W604" s="250"/>
    </row>
    <row r="605" spans="1:23" ht="15.75" customHeight="1">
      <c r="A605" s="250"/>
      <c r="B605" s="250"/>
      <c r="W605" s="250"/>
    </row>
    <row r="606" spans="1:23" ht="15.75" customHeight="1">
      <c r="A606" s="250"/>
      <c r="B606" s="250"/>
      <c r="W606" s="250"/>
    </row>
    <row r="607" spans="1:23" ht="15.75" customHeight="1">
      <c r="A607" s="250"/>
      <c r="B607" s="250"/>
      <c r="W607" s="250"/>
    </row>
    <row r="608" spans="1:23" ht="15.75" customHeight="1">
      <c r="A608" s="250"/>
      <c r="B608" s="250"/>
      <c r="W608" s="250"/>
    </row>
    <row r="609" spans="1:23" ht="15.75" customHeight="1">
      <c r="A609" s="250"/>
      <c r="B609" s="250"/>
      <c r="W609" s="250"/>
    </row>
    <row r="610" spans="1:23" ht="15.75" customHeight="1">
      <c r="A610" s="250"/>
      <c r="B610" s="250"/>
      <c r="W610" s="250"/>
    </row>
    <row r="611" spans="1:23" ht="15.75" customHeight="1">
      <c r="A611" s="250"/>
      <c r="B611" s="250"/>
      <c r="W611" s="250"/>
    </row>
    <row r="612" spans="1:23" ht="15.75" customHeight="1">
      <c r="A612" s="250"/>
      <c r="B612" s="250"/>
      <c r="W612" s="250"/>
    </row>
    <row r="613" spans="1:23" ht="15.75" customHeight="1">
      <c r="A613" s="250"/>
      <c r="B613" s="250"/>
      <c r="W613" s="250"/>
    </row>
    <row r="614" spans="1:23" ht="15.75" customHeight="1">
      <c r="A614" s="250"/>
      <c r="B614" s="250"/>
      <c r="W614" s="250"/>
    </row>
    <row r="615" spans="1:23" ht="15.75" customHeight="1">
      <c r="A615" s="250"/>
      <c r="B615" s="250"/>
      <c r="W615" s="250"/>
    </row>
    <row r="616" spans="1:23" ht="15.75" customHeight="1">
      <c r="A616" s="250"/>
      <c r="B616" s="250"/>
      <c r="W616" s="250"/>
    </row>
    <row r="617" spans="1:23" ht="15.75" customHeight="1">
      <c r="A617" s="250"/>
      <c r="B617" s="250"/>
      <c r="W617" s="250"/>
    </row>
    <row r="618" spans="1:23" ht="15.75" customHeight="1">
      <c r="A618" s="250"/>
      <c r="B618" s="250"/>
      <c r="W618" s="250"/>
    </row>
    <row r="619" spans="1:23" ht="15.75" customHeight="1">
      <c r="A619" s="250"/>
      <c r="B619" s="250"/>
      <c r="W619" s="250"/>
    </row>
    <row r="620" spans="1:23" ht="15.75" customHeight="1">
      <c r="A620" s="250"/>
      <c r="B620" s="250"/>
      <c r="W620" s="250"/>
    </row>
    <row r="621" spans="1:23" ht="15.75" customHeight="1">
      <c r="A621" s="250"/>
      <c r="B621" s="250"/>
      <c r="W621" s="250"/>
    </row>
    <row r="622" spans="1:23" ht="15.75" customHeight="1">
      <c r="A622" s="250"/>
      <c r="B622" s="250"/>
      <c r="W622" s="250"/>
    </row>
    <row r="623" spans="1:23" ht="15.75" customHeight="1">
      <c r="A623" s="250"/>
      <c r="B623" s="250"/>
      <c r="W623" s="250"/>
    </row>
    <row r="624" spans="1:23" ht="15.75" customHeight="1">
      <c r="A624" s="250"/>
      <c r="B624" s="250"/>
      <c r="W624" s="250"/>
    </row>
    <row r="625" spans="1:23" ht="15.75" customHeight="1">
      <c r="A625" s="250"/>
      <c r="B625" s="250"/>
      <c r="W625" s="250"/>
    </row>
    <row r="626" spans="1:23" ht="15.75" customHeight="1">
      <c r="A626" s="250"/>
      <c r="B626" s="250"/>
      <c r="W626" s="250"/>
    </row>
    <row r="627" spans="1:23" ht="15.75" customHeight="1">
      <c r="A627" s="250"/>
      <c r="B627" s="250"/>
      <c r="W627" s="250"/>
    </row>
    <row r="628" spans="1:23" ht="15.75" customHeight="1">
      <c r="A628" s="250"/>
      <c r="B628" s="250"/>
      <c r="W628" s="250"/>
    </row>
    <row r="629" spans="1:23" ht="15.75" customHeight="1">
      <c r="A629" s="250"/>
      <c r="B629" s="250"/>
      <c r="W629" s="250"/>
    </row>
    <row r="630" spans="1:23" ht="15.75" customHeight="1">
      <c r="A630" s="250"/>
      <c r="B630" s="250"/>
      <c r="W630" s="250"/>
    </row>
    <row r="631" spans="1:23" ht="15.75" customHeight="1">
      <c r="A631" s="250"/>
      <c r="B631" s="250"/>
      <c r="W631" s="250"/>
    </row>
    <row r="632" spans="1:23" ht="15.75" customHeight="1">
      <c r="A632" s="250"/>
      <c r="B632" s="250"/>
      <c r="W632" s="250"/>
    </row>
    <row r="633" spans="1:23" ht="15.75" customHeight="1">
      <c r="A633" s="250"/>
      <c r="B633" s="250"/>
      <c r="W633" s="250"/>
    </row>
    <row r="634" spans="1:23" ht="15.75" customHeight="1">
      <c r="A634" s="250"/>
      <c r="B634" s="250"/>
      <c r="W634" s="250"/>
    </row>
    <row r="635" spans="1:23" ht="15.75" customHeight="1">
      <c r="A635" s="250"/>
      <c r="B635" s="250"/>
      <c r="W635" s="250"/>
    </row>
    <row r="636" spans="1:23" ht="15.75" customHeight="1">
      <c r="A636" s="250"/>
      <c r="B636" s="250"/>
      <c r="W636" s="250"/>
    </row>
    <row r="637" spans="1:23" ht="15.75" customHeight="1">
      <c r="A637" s="250"/>
      <c r="B637" s="250"/>
      <c r="W637" s="250"/>
    </row>
    <row r="638" spans="1:23" ht="15.75" customHeight="1">
      <c r="A638" s="250"/>
      <c r="B638" s="250"/>
      <c r="W638" s="250"/>
    </row>
    <row r="639" spans="1:23" ht="15.75" customHeight="1">
      <c r="A639" s="250"/>
      <c r="B639" s="250"/>
      <c r="W639" s="250"/>
    </row>
    <row r="640" spans="1:23" ht="15.75" customHeight="1">
      <c r="A640" s="250"/>
      <c r="B640" s="250"/>
      <c r="W640" s="250"/>
    </row>
    <row r="641" spans="1:23" ht="15.75" customHeight="1">
      <c r="A641" s="250"/>
      <c r="B641" s="250"/>
      <c r="W641" s="250"/>
    </row>
    <row r="642" spans="1:23" ht="15.75" customHeight="1">
      <c r="A642" s="250"/>
      <c r="B642" s="250"/>
      <c r="W642" s="250"/>
    </row>
    <row r="643" spans="1:23" ht="15.75" customHeight="1">
      <c r="A643" s="250"/>
      <c r="B643" s="250"/>
      <c r="W643" s="250"/>
    </row>
    <row r="644" spans="1:23" ht="15.75" customHeight="1">
      <c r="A644" s="250"/>
      <c r="B644" s="250"/>
      <c r="W644" s="250"/>
    </row>
    <row r="645" spans="1:23" ht="15.75" customHeight="1">
      <c r="A645" s="250"/>
      <c r="B645" s="250"/>
      <c r="W645" s="250"/>
    </row>
    <row r="646" spans="1:23" ht="15.75" customHeight="1">
      <c r="A646" s="250"/>
      <c r="B646" s="250"/>
      <c r="W646" s="250"/>
    </row>
    <row r="647" spans="1:23" ht="15.75" customHeight="1">
      <c r="A647" s="250"/>
      <c r="B647" s="250"/>
      <c r="W647" s="250"/>
    </row>
    <row r="648" spans="1:23" ht="15.75" customHeight="1">
      <c r="A648" s="250"/>
      <c r="B648" s="250"/>
      <c r="W648" s="250"/>
    </row>
    <row r="649" spans="1:23" ht="15.75" customHeight="1">
      <c r="A649" s="250"/>
      <c r="B649" s="250"/>
      <c r="W649" s="250"/>
    </row>
    <row r="650" spans="1:23" ht="15.75" customHeight="1">
      <c r="A650" s="250"/>
      <c r="B650" s="250"/>
      <c r="W650" s="250"/>
    </row>
    <row r="651" spans="1:23" ht="15.75" customHeight="1">
      <c r="A651" s="250"/>
      <c r="B651" s="250"/>
      <c r="W651" s="250"/>
    </row>
    <row r="652" spans="1:23" ht="15.75" customHeight="1">
      <c r="A652" s="250"/>
      <c r="B652" s="250"/>
      <c r="W652" s="250"/>
    </row>
    <row r="653" spans="1:23" ht="15.75" customHeight="1">
      <c r="A653" s="250"/>
      <c r="B653" s="250"/>
      <c r="W653" s="250"/>
    </row>
    <row r="654" spans="1:23" ht="15.75" customHeight="1">
      <c r="A654" s="250"/>
      <c r="B654" s="250"/>
      <c r="W654" s="250"/>
    </row>
    <row r="655" spans="1:23" ht="15.75" customHeight="1">
      <c r="A655" s="250"/>
      <c r="B655" s="250"/>
      <c r="W655" s="250"/>
    </row>
    <row r="656" spans="1:23" ht="15.75" customHeight="1">
      <c r="A656" s="250"/>
      <c r="B656" s="250"/>
      <c r="W656" s="250"/>
    </row>
    <row r="657" spans="1:23" ht="15.75" customHeight="1">
      <c r="A657" s="250"/>
      <c r="B657" s="250"/>
      <c r="W657" s="250"/>
    </row>
    <row r="658" spans="1:23" ht="15.75" customHeight="1">
      <c r="A658" s="250"/>
      <c r="B658" s="250"/>
      <c r="W658" s="250"/>
    </row>
    <row r="659" spans="1:23" ht="15.75" customHeight="1">
      <c r="A659" s="250"/>
      <c r="B659" s="250"/>
      <c r="W659" s="250"/>
    </row>
    <row r="660" spans="1:23" ht="15.75" customHeight="1">
      <c r="A660" s="250"/>
      <c r="B660" s="250"/>
      <c r="W660" s="250"/>
    </row>
    <row r="661" spans="1:23" ht="15.75" customHeight="1">
      <c r="A661" s="250"/>
      <c r="B661" s="250"/>
      <c r="W661" s="250"/>
    </row>
    <row r="662" spans="1:23" ht="15.75" customHeight="1">
      <c r="A662" s="250"/>
      <c r="B662" s="250"/>
      <c r="W662" s="250"/>
    </row>
    <row r="663" spans="1:23" ht="15.75" customHeight="1">
      <c r="A663" s="250"/>
      <c r="B663" s="250"/>
      <c r="W663" s="250"/>
    </row>
    <row r="664" spans="1:23" ht="15.75" customHeight="1">
      <c r="A664" s="250"/>
      <c r="B664" s="250"/>
      <c r="W664" s="250"/>
    </row>
    <row r="665" spans="1:23" ht="15.75" customHeight="1">
      <c r="A665" s="250"/>
      <c r="B665" s="250"/>
      <c r="W665" s="250"/>
    </row>
    <row r="666" spans="1:23" ht="15.75" customHeight="1">
      <c r="A666" s="250"/>
      <c r="B666" s="250"/>
      <c r="W666" s="250"/>
    </row>
    <row r="667" spans="1:23" ht="15.75" customHeight="1">
      <c r="A667" s="250"/>
      <c r="B667" s="250"/>
      <c r="W667" s="250"/>
    </row>
    <row r="668" spans="1:23" ht="15.75" customHeight="1">
      <c r="A668" s="250"/>
      <c r="B668" s="250"/>
      <c r="W668" s="250"/>
    </row>
    <row r="669" spans="1:23" ht="15.75" customHeight="1">
      <c r="A669" s="250"/>
      <c r="B669" s="250"/>
      <c r="W669" s="250"/>
    </row>
    <row r="670" spans="1:23" ht="15.75" customHeight="1">
      <c r="A670" s="250"/>
      <c r="B670" s="250"/>
      <c r="W670" s="250"/>
    </row>
    <row r="671" spans="1:23" ht="15.75" customHeight="1">
      <c r="A671" s="250"/>
      <c r="B671" s="250"/>
      <c r="W671" s="250"/>
    </row>
    <row r="672" spans="1:23" ht="15.75" customHeight="1">
      <c r="A672" s="250"/>
      <c r="B672" s="250"/>
      <c r="W672" s="250"/>
    </row>
    <row r="673" spans="1:23" ht="15.75" customHeight="1">
      <c r="A673" s="250"/>
      <c r="B673" s="250"/>
      <c r="W673" s="250"/>
    </row>
    <row r="674" spans="1:23" ht="15.75" customHeight="1">
      <c r="A674" s="250"/>
      <c r="B674" s="250"/>
      <c r="W674" s="250"/>
    </row>
    <row r="675" spans="1:23" ht="15.75" customHeight="1">
      <c r="A675" s="250"/>
      <c r="B675" s="250"/>
      <c r="W675" s="250"/>
    </row>
    <row r="676" spans="1:23" ht="15.75" customHeight="1">
      <c r="A676" s="250"/>
      <c r="B676" s="250"/>
      <c r="W676" s="250"/>
    </row>
    <row r="677" spans="1:23" ht="15.75" customHeight="1">
      <c r="A677" s="250"/>
      <c r="B677" s="250"/>
      <c r="W677" s="250"/>
    </row>
    <row r="678" spans="1:23" ht="15.75" customHeight="1">
      <c r="A678" s="250"/>
      <c r="B678" s="250"/>
      <c r="W678" s="250"/>
    </row>
    <row r="679" spans="1:23" ht="15.75" customHeight="1">
      <c r="A679" s="250"/>
      <c r="B679" s="250"/>
      <c r="W679" s="250"/>
    </row>
    <row r="680" spans="1:23" ht="15.75" customHeight="1">
      <c r="A680" s="250"/>
      <c r="B680" s="250"/>
      <c r="W680" s="250"/>
    </row>
    <row r="681" spans="1:23" ht="15.75" customHeight="1">
      <c r="A681" s="250"/>
      <c r="B681" s="250"/>
      <c r="W681" s="250"/>
    </row>
    <row r="682" spans="1:23" ht="15.75" customHeight="1">
      <c r="A682" s="250"/>
      <c r="B682" s="250"/>
      <c r="W682" s="250"/>
    </row>
    <row r="683" spans="1:23" ht="15.75" customHeight="1">
      <c r="A683" s="250"/>
      <c r="B683" s="250"/>
      <c r="W683" s="250"/>
    </row>
    <row r="684" spans="1:23" ht="15.75" customHeight="1">
      <c r="A684" s="250"/>
      <c r="B684" s="250"/>
      <c r="W684" s="250"/>
    </row>
    <row r="685" spans="1:23" ht="15.75" customHeight="1">
      <c r="A685" s="250"/>
      <c r="B685" s="250"/>
      <c r="W685" s="250"/>
    </row>
    <row r="686" spans="1:23" ht="15.75" customHeight="1">
      <c r="A686" s="250"/>
      <c r="B686" s="250"/>
      <c r="W686" s="250"/>
    </row>
    <row r="687" spans="1:23" ht="15.75" customHeight="1">
      <c r="A687" s="250"/>
      <c r="B687" s="250"/>
      <c r="W687" s="250"/>
    </row>
    <row r="688" spans="1:23" ht="15.75" customHeight="1">
      <c r="A688" s="250"/>
      <c r="B688" s="250"/>
      <c r="W688" s="250"/>
    </row>
    <row r="689" spans="1:23" ht="15.75" customHeight="1">
      <c r="A689" s="250"/>
      <c r="B689" s="250"/>
      <c r="W689" s="250"/>
    </row>
    <row r="690" spans="1:23" ht="15.75" customHeight="1">
      <c r="A690" s="250"/>
      <c r="B690" s="250"/>
      <c r="W690" s="250"/>
    </row>
    <row r="691" spans="1:23" ht="15.75" customHeight="1">
      <c r="A691" s="250"/>
      <c r="B691" s="250"/>
      <c r="W691" s="250"/>
    </row>
    <row r="692" spans="1:23" ht="15.75" customHeight="1">
      <c r="A692" s="250"/>
      <c r="B692" s="250"/>
      <c r="W692" s="250"/>
    </row>
    <row r="693" spans="1:23" ht="15.75" customHeight="1">
      <c r="A693" s="250"/>
      <c r="B693" s="250"/>
      <c r="W693" s="250"/>
    </row>
    <row r="694" spans="1:23" ht="15.75" customHeight="1">
      <c r="A694" s="250"/>
      <c r="B694" s="250"/>
      <c r="W694" s="250"/>
    </row>
    <row r="695" spans="1:23" ht="15.75" customHeight="1">
      <c r="A695" s="250"/>
      <c r="B695" s="250"/>
      <c r="W695" s="250"/>
    </row>
    <row r="696" spans="1:23" ht="15.75" customHeight="1">
      <c r="A696" s="250"/>
      <c r="B696" s="250"/>
      <c r="W696" s="250"/>
    </row>
    <row r="697" spans="1:23" ht="15.75" customHeight="1">
      <c r="A697" s="250"/>
      <c r="B697" s="250"/>
      <c r="W697" s="250"/>
    </row>
    <row r="698" spans="1:23" ht="15.75" customHeight="1">
      <c r="A698" s="250"/>
      <c r="B698" s="250"/>
      <c r="W698" s="250"/>
    </row>
    <row r="699" spans="1:23" ht="15.75" customHeight="1">
      <c r="A699" s="250"/>
      <c r="B699" s="250"/>
      <c r="W699" s="250"/>
    </row>
    <row r="700" spans="1:23" ht="15.75" customHeight="1">
      <c r="A700" s="250"/>
      <c r="B700" s="250"/>
      <c r="W700" s="250"/>
    </row>
    <row r="701" spans="1:23" ht="15.75" customHeight="1">
      <c r="A701" s="250"/>
      <c r="B701" s="250"/>
      <c r="W701" s="250"/>
    </row>
    <row r="702" spans="1:23" ht="15.75" customHeight="1">
      <c r="A702" s="250"/>
      <c r="B702" s="250"/>
      <c r="W702" s="250"/>
    </row>
    <row r="703" spans="1:23" ht="15.75" customHeight="1">
      <c r="A703" s="250"/>
      <c r="B703" s="250"/>
      <c r="W703" s="250"/>
    </row>
    <row r="704" spans="1:23" ht="15.75" customHeight="1">
      <c r="A704" s="250"/>
      <c r="B704" s="250"/>
      <c r="W704" s="250"/>
    </row>
    <row r="705" spans="1:23" ht="15.75" customHeight="1">
      <c r="A705" s="250"/>
      <c r="B705" s="250"/>
      <c r="W705" s="250"/>
    </row>
    <row r="706" spans="1:23" ht="15.75" customHeight="1">
      <c r="A706" s="250"/>
      <c r="B706" s="250"/>
      <c r="W706" s="250"/>
    </row>
    <row r="707" spans="1:23" ht="15.75" customHeight="1">
      <c r="A707" s="250"/>
      <c r="B707" s="250"/>
      <c r="W707" s="250"/>
    </row>
    <row r="708" spans="1:23" ht="15.75" customHeight="1">
      <c r="A708" s="250"/>
      <c r="B708" s="250"/>
      <c r="W708" s="250"/>
    </row>
    <row r="709" spans="1:23" ht="15.75" customHeight="1">
      <c r="A709" s="250"/>
      <c r="B709" s="250"/>
      <c r="W709" s="250"/>
    </row>
    <row r="710" spans="1:23" ht="15.75" customHeight="1">
      <c r="A710" s="250"/>
      <c r="B710" s="250"/>
      <c r="W710" s="250"/>
    </row>
    <row r="711" spans="1:23" ht="15.75" customHeight="1">
      <c r="A711" s="250"/>
      <c r="B711" s="250"/>
      <c r="W711" s="250"/>
    </row>
    <row r="712" spans="1:23" ht="15.75" customHeight="1">
      <c r="A712" s="250"/>
      <c r="B712" s="250"/>
      <c r="W712" s="250"/>
    </row>
    <row r="713" spans="1:23" ht="15.75" customHeight="1">
      <c r="A713" s="250"/>
      <c r="B713" s="250"/>
      <c r="W713" s="250"/>
    </row>
    <row r="714" spans="1:23" ht="15.75" customHeight="1">
      <c r="A714" s="250"/>
      <c r="B714" s="250"/>
      <c r="W714" s="250"/>
    </row>
    <row r="715" spans="1:23" ht="15.75" customHeight="1">
      <c r="A715" s="250"/>
      <c r="B715" s="250"/>
      <c r="W715" s="250"/>
    </row>
    <row r="716" spans="1:23" ht="15.75" customHeight="1">
      <c r="A716" s="250"/>
      <c r="B716" s="250"/>
      <c r="W716" s="250"/>
    </row>
    <row r="717" spans="1:23" ht="15.75" customHeight="1">
      <c r="A717" s="250"/>
      <c r="B717" s="250"/>
      <c r="W717" s="250"/>
    </row>
    <row r="718" spans="1:23" ht="15.75" customHeight="1">
      <c r="A718" s="250"/>
      <c r="B718" s="250"/>
      <c r="W718" s="250"/>
    </row>
    <row r="719" spans="1:23" ht="15.75" customHeight="1">
      <c r="A719" s="250"/>
      <c r="B719" s="250"/>
      <c r="W719" s="250"/>
    </row>
    <row r="720" spans="1:23" ht="15.75" customHeight="1">
      <c r="A720" s="250"/>
      <c r="B720" s="250"/>
      <c r="W720" s="250"/>
    </row>
    <row r="721" spans="1:23" ht="15.75" customHeight="1">
      <c r="A721" s="250"/>
      <c r="B721" s="250"/>
      <c r="W721" s="250"/>
    </row>
    <row r="722" spans="1:23" ht="15.75" customHeight="1">
      <c r="A722" s="250"/>
      <c r="B722" s="250"/>
      <c r="W722" s="250"/>
    </row>
    <row r="723" spans="1:23" ht="15.75" customHeight="1">
      <c r="A723" s="250"/>
      <c r="B723" s="250"/>
      <c r="W723" s="250"/>
    </row>
    <row r="724" spans="1:23" ht="15.75" customHeight="1">
      <c r="A724" s="250"/>
      <c r="B724" s="250"/>
      <c r="W724" s="250"/>
    </row>
    <row r="725" spans="1:23" ht="15.75" customHeight="1">
      <c r="A725" s="250"/>
      <c r="B725" s="250"/>
      <c r="W725" s="250"/>
    </row>
    <row r="726" spans="1:23" ht="15.75" customHeight="1">
      <c r="A726" s="250"/>
      <c r="B726" s="250"/>
      <c r="W726" s="250"/>
    </row>
    <row r="727" spans="1:23" ht="15.75" customHeight="1">
      <c r="A727" s="250"/>
      <c r="B727" s="250"/>
      <c r="W727" s="250"/>
    </row>
    <row r="728" spans="1:23" ht="15.75" customHeight="1">
      <c r="A728" s="250"/>
      <c r="B728" s="250"/>
      <c r="W728" s="250"/>
    </row>
    <row r="729" spans="1:23" ht="15.75" customHeight="1">
      <c r="A729" s="250"/>
      <c r="B729" s="250"/>
      <c r="W729" s="250"/>
    </row>
    <row r="730" spans="1:23" ht="15.75" customHeight="1">
      <c r="A730" s="250"/>
      <c r="B730" s="250"/>
      <c r="W730" s="250"/>
    </row>
    <row r="731" spans="1:23" ht="15.75" customHeight="1">
      <c r="A731" s="250"/>
      <c r="B731" s="250"/>
      <c r="W731" s="250"/>
    </row>
    <row r="732" spans="1:23" ht="15.75" customHeight="1">
      <c r="A732" s="250"/>
      <c r="B732" s="250"/>
      <c r="W732" s="250"/>
    </row>
    <row r="733" spans="1:23" ht="15.75" customHeight="1">
      <c r="A733" s="250"/>
      <c r="B733" s="250"/>
      <c r="W733" s="250"/>
    </row>
    <row r="734" spans="1:23" ht="15.75" customHeight="1">
      <c r="A734" s="250"/>
      <c r="B734" s="250"/>
      <c r="W734" s="250"/>
    </row>
    <row r="735" spans="1:23" ht="15.75" customHeight="1">
      <c r="A735" s="250"/>
      <c r="B735" s="250"/>
      <c r="W735" s="250"/>
    </row>
    <row r="736" spans="1:23" ht="15.75" customHeight="1">
      <c r="A736" s="250"/>
      <c r="B736" s="250"/>
      <c r="W736" s="250"/>
    </row>
    <row r="737" spans="1:23" ht="15.75" customHeight="1">
      <c r="A737" s="250"/>
      <c r="B737" s="250"/>
      <c r="W737" s="250"/>
    </row>
    <row r="738" spans="1:23" ht="15.75" customHeight="1">
      <c r="A738" s="250"/>
      <c r="B738" s="250"/>
      <c r="W738" s="250"/>
    </row>
    <row r="739" spans="1:23" ht="15.75" customHeight="1">
      <c r="A739" s="250"/>
      <c r="B739" s="250"/>
      <c r="W739" s="250"/>
    </row>
    <row r="740" spans="1:23" ht="15.75" customHeight="1">
      <c r="A740" s="250"/>
      <c r="B740" s="250"/>
      <c r="W740" s="250"/>
    </row>
    <row r="741" spans="1:23" ht="15.75" customHeight="1">
      <c r="A741" s="250"/>
      <c r="B741" s="250"/>
      <c r="W741" s="250"/>
    </row>
    <row r="742" spans="1:23" ht="15.75" customHeight="1">
      <c r="A742" s="250"/>
      <c r="B742" s="250"/>
      <c r="W742" s="250"/>
    </row>
    <row r="743" spans="1:23" ht="15.75" customHeight="1">
      <c r="A743" s="250"/>
      <c r="B743" s="250"/>
      <c r="W743" s="250"/>
    </row>
    <row r="744" spans="1:23" ht="15.75" customHeight="1">
      <c r="A744" s="250"/>
      <c r="B744" s="250"/>
      <c r="W744" s="250"/>
    </row>
    <row r="745" spans="1:23" ht="15.75" customHeight="1">
      <c r="A745" s="250"/>
      <c r="B745" s="250"/>
      <c r="W745" s="250"/>
    </row>
    <row r="746" spans="1:23" ht="15.75" customHeight="1">
      <c r="A746" s="250"/>
      <c r="B746" s="250"/>
      <c r="W746" s="250"/>
    </row>
    <row r="747" spans="1:23" ht="15.75" customHeight="1">
      <c r="A747" s="250"/>
      <c r="B747" s="250"/>
      <c r="W747" s="250"/>
    </row>
    <row r="748" spans="1:23" ht="15.75" customHeight="1">
      <c r="A748" s="250"/>
      <c r="B748" s="250"/>
      <c r="W748" s="250"/>
    </row>
    <row r="749" spans="1:23" ht="15.75" customHeight="1">
      <c r="A749" s="250"/>
      <c r="B749" s="250"/>
      <c r="W749" s="250"/>
    </row>
    <row r="750" spans="1:23" ht="15.75" customHeight="1">
      <c r="A750" s="250"/>
      <c r="B750" s="250"/>
      <c r="W750" s="250"/>
    </row>
    <row r="751" spans="1:23" ht="15.75" customHeight="1">
      <c r="A751" s="250"/>
      <c r="B751" s="250"/>
      <c r="W751" s="250"/>
    </row>
    <row r="752" spans="1:23" ht="15.75" customHeight="1">
      <c r="A752" s="250"/>
      <c r="B752" s="250"/>
      <c r="W752" s="250"/>
    </row>
    <row r="753" spans="1:23" ht="15.75" customHeight="1">
      <c r="A753" s="250"/>
      <c r="B753" s="250"/>
      <c r="W753" s="250"/>
    </row>
    <row r="754" spans="1:23" ht="15.75" customHeight="1">
      <c r="A754" s="250"/>
      <c r="B754" s="250"/>
      <c r="W754" s="250"/>
    </row>
    <row r="755" spans="1:23" ht="15.75" customHeight="1">
      <c r="A755" s="250"/>
      <c r="B755" s="250"/>
      <c r="W755" s="250"/>
    </row>
    <row r="756" spans="1:23" ht="15.75" customHeight="1">
      <c r="A756" s="250"/>
      <c r="B756" s="250"/>
      <c r="W756" s="250"/>
    </row>
    <row r="757" spans="1:23" ht="15.75" customHeight="1">
      <c r="A757" s="250"/>
      <c r="B757" s="250"/>
      <c r="W757" s="250"/>
    </row>
    <row r="758" spans="1:23" ht="15.75" customHeight="1">
      <c r="A758" s="250"/>
      <c r="B758" s="250"/>
      <c r="W758" s="250"/>
    </row>
    <row r="759" spans="1:23" ht="15.75" customHeight="1">
      <c r="A759" s="250"/>
      <c r="B759" s="250"/>
      <c r="W759" s="250"/>
    </row>
    <row r="760" spans="1:23" ht="15.75" customHeight="1">
      <c r="A760" s="250"/>
      <c r="B760" s="250"/>
      <c r="W760" s="250"/>
    </row>
    <row r="761" spans="1:23" ht="15.75" customHeight="1">
      <c r="A761" s="250"/>
      <c r="B761" s="250"/>
      <c r="W761" s="250"/>
    </row>
    <row r="762" spans="1:23" ht="15.75" customHeight="1">
      <c r="A762" s="250"/>
      <c r="B762" s="250"/>
      <c r="W762" s="250"/>
    </row>
    <row r="763" spans="1:23" ht="15.75" customHeight="1">
      <c r="A763" s="250"/>
      <c r="B763" s="250"/>
      <c r="W763" s="250"/>
    </row>
    <row r="764" spans="1:23" ht="15.75" customHeight="1">
      <c r="A764" s="250"/>
      <c r="B764" s="250"/>
      <c r="W764" s="250"/>
    </row>
    <row r="765" spans="1:23" ht="15.75" customHeight="1">
      <c r="A765" s="250"/>
      <c r="B765" s="250"/>
      <c r="W765" s="250"/>
    </row>
    <row r="766" spans="1:23" ht="15.75" customHeight="1">
      <c r="A766" s="250"/>
      <c r="B766" s="250"/>
      <c r="W766" s="250"/>
    </row>
    <row r="767" spans="1:23" ht="15.75" customHeight="1">
      <c r="A767" s="250"/>
      <c r="B767" s="250"/>
      <c r="W767" s="250"/>
    </row>
    <row r="768" spans="1:23" ht="15.75" customHeight="1">
      <c r="A768" s="250"/>
      <c r="B768" s="250"/>
      <c r="W768" s="250"/>
    </row>
    <row r="769" spans="1:23" ht="15.75" customHeight="1">
      <c r="A769" s="250"/>
      <c r="B769" s="250"/>
      <c r="W769" s="250"/>
    </row>
    <row r="770" spans="1:23" ht="15.75" customHeight="1">
      <c r="A770" s="250"/>
      <c r="B770" s="250"/>
      <c r="W770" s="250"/>
    </row>
    <row r="771" spans="1:23" ht="15.75" customHeight="1">
      <c r="A771" s="250"/>
      <c r="B771" s="250"/>
      <c r="W771" s="250"/>
    </row>
    <row r="772" spans="1:23" ht="15.75" customHeight="1">
      <c r="A772" s="250"/>
      <c r="B772" s="250"/>
      <c r="W772" s="250"/>
    </row>
    <row r="773" spans="1:23" ht="15.75" customHeight="1">
      <c r="A773" s="250"/>
      <c r="B773" s="250"/>
      <c r="W773" s="250"/>
    </row>
    <row r="774" spans="1:23" ht="15.75" customHeight="1">
      <c r="A774" s="250"/>
      <c r="B774" s="250"/>
      <c r="W774" s="250"/>
    </row>
    <row r="775" spans="1:23" ht="15.75" customHeight="1">
      <c r="A775" s="250"/>
      <c r="B775" s="250"/>
      <c r="W775" s="250"/>
    </row>
    <row r="776" spans="1:23" ht="15.75" customHeight="1">
      <c r="A776" s="250"/>
      <c r="B776" s="250"/>
      <c r="W776" s="250"/>
    </row>
    <row r="777" spans="1:23" ht="15.75" customHeight="1">
      <c r="A777" s="250"/>
      <c r="B777" s="250"/>
      <c r="W777" s="250"/>
    </row>
    <row r="778" spans="1:23" ht="15.75" customHeight="1">
      <c r="A778" s="250"/>
      <c r="B778" s="250"/>
      <c r="W778" s="250"/>
    </row>
    <row r="779" spans="1:23" ht="15.75" customHeight="1">
      <c r="A779" s="250"/>
      <c r="B779" s="250"/>
      <c r="W779" s="250"/>
    </row>
    <row r="780" spans="1:23" ht="15.75" customHeight="1">
      <c r="A780" s="250"/>
      <c r="B780" s="250"/>
      <c r="W780" s="250"/>
    </row>
    <row r="781" spans="1:23" ht="15.75" customHeight="1">
      <c r="A781" s="250"/>
      <c r="B781" s="250"/>
      <c r="W781" s="250"/>
    </row>
    <row r="782" spans="1:23" ht="15.75" customHeight="1">
      <c r="A782" s="250"/>
      <c r="B782" s="250"/>
      <c r="W782" s="250"/>
    </row>
    <row r="783" spans="1:23" ht="15.75" customHeight="1">
      <c r="A783" s="250"/>
      <c r="B783" s="250"/>
      <c r="W783" s="250"/>
    </row>
    <row r="784" spans="1:23" ht="15.75" customHeight="1">
      <c r="A784" s="250"/>
      <c r="B784" s="250"/>
      <c r="W784" s="250"/>
    </row>
    <row r="785" spans="1:23" ht="15.75" customHeight="1">
      <c r="A785" s="250"/>
      <c r="B785" s="250"/>
      <c r="W785" s="250"/>
    </row>
    <row r="786" spans="1:23" ht="15.75" customHeight="1">
      <c r="A786" s="250"/>
      <c r="B786" s="250"/>
      <c r="W786" s="250"/>
    </row>
    <row r="787" spans="1:23" ht="15.75" customHeight="1">
      <c r="A787" s="250"/>
      <c r="B787" s="250"/>
      <c r="W787" s="250"/>
    </row>
    <row r="788" spans="1:23" ht="15.75" customHeight="1">
      <c r="A788" s="250"/>
      <c r="B788" s="250"/>
      <c r="W788" s="250"/>
    </row>
    <row r="789" spans="1:23" ht="15.75" customHeight="1">
      <c r="A789" s="250"/>
      <c r="B789" s="250"/>
      <c r="W789" s="250"/>
    </row>
    <row r="790" spans="1:23" ht="15.75" customHeight="1">
      <c r="A790" s="250"/>
      <c r="B790" s="250"/>
      <c r="W790" s="250"/>
    </row>
    <row r="791" spans="1:23" ht="15.75" customHeight="1">
      <c r="A791" s="250"/>
      <c r="B791" s="250"/>
      <c r="W791" s="250"/>
    </row>
    <row r="792" spans="1:23" ht="15.75" customHeight="1">
      <c r="A792" s="250"/>
      <c r="B792" s="250"/>
      <c r="W792" s="250"/>
    </row>
    <row r="793" spans="1:23" ht="15.75" customHeight="1">
      <c r="A793" s="250"/>
      <c r="B793" s="250"/>
      <c r="W793" s="250"/>
    </row>
    <row r="794" spans="1:23" ht="15.75" customHeight="1">
      <c r="A794" s="250"/>
      <c r="B794" s="250"/>
      <c r="W794" s="250"/>
    </row>
    <row r="795" spans="1:23" ht="15.75" customHeight="1">
      <c r="A795" s="250"/>
      <c r="B795" s="250"/>
      <c r="W795" s="250"/>
    </row>
    <row r="796" spans="1:23" ht="15.75" customHeight="1">
      <c r="A796" s="250"/>
      <c r="B796" s="250"/>
      <c r="W796" s="250"/>
    </row>
    <row r="797" spans="1:23" ht="15.75" customHeight="1">
      <c r="A797" s="250"/>
      <c r="B797" s="250"/>
      <c r="W797" s="250"/>
    </row>
    <row r="798" spans="1:23" ht="15.75" customHeight="1">
      <c r="A798" s="250"/>
      <c r="B798" s="250"/>
      <c r="W798" s="250"/>
    </row>
    <row r="799" spans="1:23" ht="15.75" customHeight="1">
      <c r="A799" s="250"/>
      <c r="B799" s="250"/>
      <c r="W799" s="250"/>
    </row>
    <row r="800" spans="1:23" ht="15.75" customHeight="1">
      <c r="A800" s="250"/>
      <c r="B800" s="250"/>
      <c r="W800" s="250"/>
    </row>
    <row r="801" spans="1:23" ht="15.75" customHeight="1">
      <c r="A801" s="250"/>
      <c r="B801" s="250"/>
      <c r="W801" s="250"/>
    </row>
    <row r="802" spans="1:23" ht="15.75" customHeight="1">
      <c r="A802" s="250"/>
      <c r="B802" s="250"/>
      <c r="W802" s="250"/>
    </row>
    <row r="803" spans="1:23" ht="15.75" customHeight="1">
      <c r="A803" s="250"/>
      <c r="B803" s="250"/>
      <c r="W803" s="250"/>
    </row>
    <row r="804" spans="1:23" ht="15.75" customHeight="1">
      <c r="A804" s="250"/>
      <c r="B804" s="250"/>
      <c r="W804" s="250"/>
    </row>
    <row r="805" spans="1:23" ht="15.75" customHeight="1">
      <c r="A805" s="250"/>
      <c r="B805" s="250"/>
      <c r="W805" s="250"/>
    </row>
    <row r="806" spans="1:23" ht="15.75" customHeight="1">
      <c r="A806" s="250"/>
      <c r="B806" s="250"/>
      <c r="W806" s="250"/>
    </row>
    <row r="807" spans="1:23" ht="15.75" customHeight="1">
      <c r="A807" s="250"/>
      <c r="B807" s="250"/>
      <c r="W807" s="250"/>
    </row>
    <row r="808" spans="1:23" ht="15.75" customHeight="1">
      <c r="A808" s="250"/>
      <c r="B808" s="250"/>
      <c r="W808" s="250"/>
    </row>
    <row r="809" spans="1:23" ht="15.75" customHeight="1">
      <c r="A809" s="250"/>
      <c r="B809" s="250"/>
      <c r="W809" s="250"/>
    </row>
    <row r="810" spans="1:23" ht="15.75" customHeight="1">
      <c r="A810" s="250"/>
      <c r="B810" s="250"/>
      <c r="W810" s="250"/>
    </row>
    <row r="811" spans="1:23" ht="15.75" customHeight="1">
      <c r="A811" s="250"/>
      <c r="B811" s="250"/>
      <c r="W811" s="250"/>
    </row>
    <row r="812" spans="1:23" ht="15.75" customHeight="1">
      <c r="A812" s="250"/>
      <c r="B812" s="250"/>
      <c r="W812" s="250"/>
    </row>
    <row r="813" spans="1:23" ht="15.75" customHeight="1">
      <c r="A813" s="250"/>
      <c r="B813" s="250"/>
      <c r="W813" s="250"/>
    </row>
    <row r="814" spans="1:23" ht="15.75" customHeight="1">
      <c r="A814" s="250"/>
      <c r="B814" s="250"/>
      <c r="W814" s="250"/>
    </row>
    <row r="815" spans="1:23" ht="15.75" customHeight="1">
      <c r="A815" s="250"/>
      <c r="B815" s="250"/>
      <c r="W815" s="250"/>
    </row>
    <row r="816" spans="1:23" ht="15.75" customHeight="1">
      <c r="A816" s="250"/>
      <c r="B816" s="250"/>
      <c r="W816" s="250"/>
    </row>
    <row r="817" spans="1:23" ht="15.75" customHeight="1">
      <c r="A817" s="250"/>
      <c r="B817" s="250"/>
      <c r="W817" s="250"/>
    </row>
    <row r="818" spans="1:23" ht="15.75" customHeight="1">
      <c r="A818" s="250"/>
      <c r="B818" s="250"/>
      <c r="W818" s="250"/>
    </row>
    <row r="819" spans="1:23" ht="15.75" customHeight="1">
      <c r="A819" s="250"/>
      <c r="B819" s="250"/>
      <c r="W819" s="250"/>
    </row>
    <row r="820" spans="1:23" ht="15.75" customHeight="1">
      <c r="A820" s="250"/>
      <c r="B820" s="250"/>
      <c r="W820" s="250"/>
    </row>
    <row r="821" spans="1:23" ht="15.75" customHeight="1">
      <c r="A821" s="250"/>
      <c r="B821" s="250"/>
      <c r="W821" s="250"/>
    </row>
    <row r="822" spans="1:23" ht="15.75" customHeight="1">
      <c r="A822" s="250"/>
      <c r="B822" s="250"/>
      <c r="W822" s="250"/>
    </row>
    <row r="823" spans="1:23" ht="15.75" customHeight="1">
      <c r="A823" s="250"/>
      <c r="B823" s="250"/>
      <c r="W823" s="250"/>
    </row>
    <row r="824" spans="1:23" ht="15.75" customHeight="1">
      <c r="A824" s="250"/>
      <c r="B824" s="250"/>
      <c r="W824" s="250"/>
    </row>
    <row r="825" spans="1:23" ht="15.75" customHeight="1">
      <c r="A825" s="250"/>
      <c r="B825" s="250"/>
      <c r="W825" s="250"/>
    </row>
    <row r="826" spans="1:23" ht="15.75" customHeight="1">
      <c r="A826" s="250"/>
      <c r="B826" s="250"/>
      <c r="W826" s="250"/>
    </row>
    <row r="827" spans="1:23" ht="15.75" customHeight="1">
      <c r="A827" s="250"/>
      <c r="B827" s="250"/>
      <c r="W827" s="250"/>
    </row>
    <row r="828" spans="1:23" ht="15.75" customHeight="1">
      <c r="A828" s="250"/>
      <c r="B828" s="250"/>
      <c r="W828" s="250"/>
    </row>
    <row r="829" spans="1:23" ht="15.75" customHeight="1">
      <c r="A829" s="250"/>
      <c r="B829" s="250"/>
      <c r="W829" s="250"/>
    </row>
    <row r="830" spans="1:23" ht="15.75" customHeight="1">
      <c r="A830" s="250"/>
      <c r="B830" s="250"/>
      <c r="W830" s="250"/>
    </row>
    <row r="831" spans="1:23" ht="15.75" customHeight="1">
      <c r="A831" s="250"/>
      <c r="B831" s="250"/>
      <c r="W831" s="250"/>
    </row>
    <row r="832" spans="1:23" ht="15.75" customHeight="1">
      <c r="A832" s="250"/>
      <c r="B832" s="250"/>
      <c r="W832" s="250"/>
    </row>
    <row r="833" spans="1:23" ht="15.75" customHeight="1">
      <c r="A833" s="250"/>
      <c r="B833" s="250"/>
      <c r="W833" s="250"/>
    </row>
    <row r="834" spans="1:23" ht="15.75" customHeight="1">
      <c r="A834" s="250"/>
      <c r="B834" s="250"/>
      <c r="W834" s="250"/>
    </row>
    <row r="835" spans="1:23" ht="15.75" customHeight="1">
      <c r="A835" s="250"/>
      <c r="B835" s="250"/>
      <c r="W835" s="250"/>
    </row>
    <row r="836" spans="1:23" ht="15.75" customHeight="1">
      <c r="A836" s="250"/>
      <c r="B836" s="250"/>
      <c r="W836" s="250"/>
    </row>
    <row r="837" spans="1:23" ht="15.75" customHeight="1">
      <c r="A837" s="250"/>
      <c r="B837" s="250"/>
      <c r="W837" s="250"/>
    </row>
    <row r="838" spans="1:23" ht="15.75" customHeight="1">
      <c r="A838" s="250"/>
      <c r="B838" s="250"/>
      <c r="W838" s="250"/>
    </row>
    <row r="839" spans="1:23" ht="15.75" customHeight="1">
      <c r="A839" s="250"/>
      <c r="B839" s="250"/>
      <c r="W839" s="250"/>
    </row>
    <row r="840" spans="1:23" ht="15.75" customHeight="1">
      <c r="A840" s="250"/>
      <c r="B840" s="250"/>
      <c r="W840" s="250"/>
    </row>
    <row r="841" spans="1:23" ht="15.75" customHeight="1">
      <c r="A841" s="250"/>
      <c r="B841" s="250"/>
      <c r="W841" s="250"/>
    </row>
    <row r="842" spans="1:23" ht="15.75" customHeight="1">
      <c r="A842" s="250"/>
      <c r="B842" s="250"/>
      <c r="W842" s="250"/>
    </row>
    <row r="843" spans="1:23" ht="15.75" customHeight="1">
      <c r="A843" s="250"/>
      <c r="B843" s="250"/>
      <c r="W843" s="250"/>
    </row>
    <row r="844" spans="1:23" ht="15.75" customHeight="1">
      <c r="A844" s="250"/>
      <c r="B844" s="250"/>
      <c r="W844" s="250"/>
    </row>
    <row r="845" spans="1:23" ht="15.75" customHeight="1">
      <c r="A845" s="250"/>
      <c r="B845" s="250"/>
      <c r="W845" s="250"/>
    </row>
    <row r="846" spans="1:23" ht="15.75" customHeight="1">
      <c r="A846" s="250"/>
      <c r="B846" s="250"/>
      <c r="W846" s="250"/>
    </row>
    <row r="847" spans="1:23" ht="15.75" customHeight="1">
      <c r="A847" s="250"/>
      <c r="B847" s="250"/>
      <c r="W847" s="250"/>
    </row>
    <row r="848" spans="1:23" ht="15.75" customHeight="1">
      <c r="A848" s="250"/>
      <c r="B848" s="250"/>
      <c r="W848" s="250"/>
    </row>
    <row r="849" spans="1:23" ht="15.75" customHeight="1">
      <c r="A849" s="250"/>
      <c r="B849" s="250"/>
      <c r="W849" s="250"/>
    </row>
    <row r="850" spans="1:23" ht="15.75" customHeight="1">
      <c r="A850" s="250"/>
      <c r="B850" s="250"/>
      <c r="W850" s="250"/>
    </row>
    <row r="851" spans="1:23" ht="15.75" customHeight="1">
      <c r="A851" s="250"/>
      <c r="B851" s="250"/>
      <c r="W851" s="250"/>
    </row>
    <row r="852" spans="1:23" ht="15.75" customHeight="1">
      <c r="A852" s="250"/>
      <c r="B852" s="250"/>
      <c r="W852" s="250"/>
    </row>
    <row r="853" spans="1:23" ht="15.75" customHeight="1">
      <c r="A853" s="250"/>
      <c r="B853" s="250"/>
      <c r="W853" s="250"/>
    </row>
    <row r="854" spans="1:23" ht="15.75" customHeight="1">
      <c r="A854" s="250"/>
      <c r="B854" s="250"/>
      <c r="W854" s="250"/>
    </row>
    <row r="855" spans="1:23" ht="15.75" customHeight="1">
      <c r="A855" s="250"/>
      <c r="B855" s="250"/>
      <c r="W855" s="250"/>
    </row>
    <row r="856" spans="1:23" ht="15.75" customHeight="1">
      <c r="A856" s="250"/>
      <c r="B856" s="250"/>
      <c r="W856" s="250"/>
    </row>
    <row r="857" spans="1:23" ht="15.75" customHeight="1">
      <c r="A857" s="250"/>
      <c r="B857" s="250"/>
      <c r="W857" s="250"/>
    </row>
    <row r="858" spans="1:23" ht="15.75" customHeight="1">
      <c r="A858" s="250"/>
      <c r="B858" s="250"/>
      <c r="W858" s="250"/>
    </row>
    <row r="859" spans="1:23" ht="15.75" customHeight="1">
      <c r="A859" s="250"/>
      <c r="B859" s="250"/>
      <c r="W859" s="250"/>
    </row>
    <row r="860" spans="1:23" ht="15.75" customHeight="1">
      <c r="A860" s="250"/>
      <c r="B860" s="250"/>
      <c r="W860" s="250"/>
    </row>
    <row r="861" spans="1:23" ht="15.75" customHeight="1">
      <c r="A861" s="250"/>
      <c r="B861" s="250"/>
      <c r="W861" s="250"/>
    </row>
    <row r="862" spans="1:23" ht="15.75" customHeight="1">
      <c r="A862" s="250"/>
      <c r="B862" s="250"/>
      <c r="W862" s="250"/>
    </row>
    <row r="863" spans="1:23" ht="15.75" customHeight="1">
      <c r="A863" s="250"/>
      <c r="B863" s="250"/>
      <c r="W863" s="250"/>
    </row>
    <row r="864" spans="1:23" ht="15.75" customHeight="1">
      <c r="A864" s="250"/>
      <c r="B864" s="250"/>
      <c r="W864" s="250"/>
    </row>
    <row r="865" spans="1:23" ht="15.75" customHeight="1">
      <c r="A865" s="250"/>
      <c r="B865" s="250"/>
      <c r="W865" s="250"/>
    </row>
    <row r="866" spans="1:23" ht="15.75" customHeight="1">
      <c r="A866" s="250"/>
      <c r="B866" s="250"/>
      <c r="W866" s="250"/>
    </row>
    <row r="867" spans="1:23" ht="15.75" customHeight="1">
      <c r="A867" s="250"/>
      <c r="B867" s="250"/>
      <c r="W867" s="250"/>
    </row>
    <row r="868" spans="1:23" ht="15.75" customHeight="1">
      <c r="A868" s="250"/>
      <c r="B868" s="250"/>
      <c r="W868" s="250"/>
    </row>
    <row r="869" spans="1:23" ht="15.75" customHeight="1">
      <c r="A869" s="250"/>
      <c r="B869" s="250"/>
      <c r="W869" s="250"/>
    </row>
    <row r="870" spans="1:23" ht="15.75" customHeight="1">
      <c r="A870" s="250"/>
      <c r="B870" s="250"/>
      <c r="W870" s="250"/>
    </row>
    <row r="871" spans="1:23" ht="15.75" customHeight="1">
      <c r="A871" s="250"/>
      <c r="B871" s="250"/>
      <c r="W871" s="250"/>
    </row>
    <row r="872" spans="1:23" ht="15.75" customHeight="1">
      <c r="A872" s="250"/>
      <c r="B872" s="250"/>
      <c r="W872" s="250"/>
    </row>
    <row r="873" spans="1:23" ht="15.75" customHeight="1">
      <c r="A873" s="250"/>
      <c r="B873" s="250"/>
      <c r="W873" s="250"/>
    </row>
    <row r="874" spans="1:23" ht="15.75" customHeight="1">
      <c r="A874" s="250"/>
      <c r="B874" s="250"/>
      <c r="W874" s="250"/>
    </row>
    <row r="875" spans="1:23" ht="15.75" customHeight="1">
      <c r="A875" s="250"/>
      <c r="B875" s="250"/>
      <c r="W875" s="250"/>
    </row>
    <row r="876" spans="1:23" ht="15.75" customHeight="1">
      <c r="A876" s="250"/>
      <c r="B876" s="250"/>
      <c r="W876" s="250"/>
    </row>
    <row r="877" spans="1:23" ht="15.75" customHeight="1">
      <c r="A877" s="250"/>
      <c r="B877" s="250"/>
      <c r="W877" s="250"/>
    </row>
    <row r="878" spans="1:23" ht="15.75" customHeight="1">
      <c r="A878" s="250"/>
      <c r="B878" s="250"/>
      <c r="W878" s="250"/>
    </row>
    <row r="879" spans="1:23" ht="15.75" customHeight="1">
      <c r="A879" s="250"/>
      <c r="B879" s="250"/>
      <c r="W879" s="250"/>
    </row>
    <row r="880" spans="1:23" ht="15.75" customHeight="1">
      <c r="A880" s="250"/>
      <c r="B880" s="250"/>
      <c r="W880" s="250"/>
    </row>
    <row r="881" spans="1:23" ht="15.75" customHeight="1">
      <c r="A881" s="250"/>
      <c r="B881" s="250"/>
      <c r="W881" s="250"/>
    </row>
    <row r="882" spans="1:23" ht="15.75" customHeight="1">
      <c r="A882" s="250"/>
      <c r="B882" s="250"/>
      <c r="W882" s="250"/>
    </row>
    <row r="883" spans="1:23" ht="15.75" customHeight="1">
      <c r="A883" s="250"/>
      <c r="B883" s="250"/>
      <c r="W883" s="250"/>
    </row>
    <row r="884" spans="1:23" ht="15.75" customHeight="1">
      <c r="A884" s="250"/>
      <c r="B884" s="250"/>
      <c r="W884" s="250"/>
    </row>
    <row r="885" spans="1:23" ht="15.75" customHeight="1">
      <c r="A885" s="250"/>
      <c r="B885" s="250"/>
      <c r="W885" s="250"/>
    </row>
    <row r="886" spans="1:23" ht="15.75" customHeight="1">
      <c r="A886" s="250"/>
      <c r="B886" s="250"/>
      <c r="W886" s="250"/>
    </row>
    <row r="887" spans="1:23" ht="15.75" customHeight="1">
      <c r="A887" s="250"/>
      <c r="B887" s="250"/>
      <c r="W887" s="250"/>
    </row>
    <row r="888" spans="1:23" ht="15.75" customHeight="1">
      <c r="A888" s="250"/>
      <c r="B888" s="250"/>
      <c r="W888" s="250"/>
    </row>
    <row r="889" spans="1:23" ht="15.75" customHeight="1">
      <c r="A889" s="250"/>
      <c r="B889" s="250"/>
      <c r="W889" s="250"/>
    </row>
    <row r="890" spans="1:23" ht="15.75" customHeight="1">
      <c r="A890" s="250"/>
      <c r="B890" s="250"/>
      <c r="W890" s="250"/>
    </row>
    <row r="891" spans="1:23" ht="15.75" customHeight="1">
      <c r="A891" s="250"/>
      <c r="B891" s="250"/>
      <c r="W891" s="250"/>
    </row>
    <row r="892" spans="1:23" ht="15.75" customHeight="1">
      <c r="A892" s="250"/>
      <c r="B892" s="250"/>
      <c r="W892" s="250"/>
    </row>
    <row r="893" spans="1:23" ht="15.75" customHeight="1">
      <c r="A893" s="250"/>
      <c r="B893" s="250"/>
      <c r="W893" s="250"/>
    </row>
    <row r="894" spans="1:23" ht="15.75" customHeight="1">
      <c r="A894" s="250"/>
      <c r="B894" s="250"/>
      <c r="W894" s="250"/>
    </row>
    <row r="895" spans="1:23" ht="15.75" customHeight="1">
      <c r="A895" s="250"/>
      <c r="B895" s="250"/>
      <c r="W895" s="250"/>
    </row>
    <row r="896" spans="1:23" ht="15.75" customHeight="1">
      <c r="A896" s="250"/>
      <c r="B896" s="250"/>
      <c r="W896" s="250"/>
    </row>
    <row r="897" spans="1:23" ht="15.75" customHeight="1">
      <c r="A897" s="250"/>
      <c r="B897" s="250"/>
      <c r="W897" s="250"/>
    </row>
    <row r="898" spans="1:23" ht="15.75" customHeight="1">
      <c r="A898" s="250"/>
      <c r="B898" s="250"/>
      <c r="W898" s="250"/>
    </row>
    <row r="899" spans="1:23" ht="15.75" customHeight="1">
      <c r="A899" s="250"/>
      <c r="B899" s="250"/>
      <c r="W899" s="250"/>
    </row>
    <row r="900" spans="1:23" ht="15.75" customHeight="1">
      <c r="A900" s="250"/>
      <c r="B900" s="250"/>
      <c r="W900" s="250"/>
    </row>
    <row r="901" spans="1:23" ht="15.75" customHeight="1">
      <c r="A901" s="250"/>
      <c r="B901" s="250"/>
      <c r="W901" s="250"/>
    </row>
    <row r="902" spans="1:23" ht="15.75" customHeight="1">
      <c r="A902" s="250"/>
      <c r="B902" s="250"/>
      <c r="W902" s="250"/>
    </row>
    <row r="903" spans="1:23" ht="15.75" customHeight="1">
      <c r="A903" s="250"/>
      <c r="B903" s="250"/>
      <c r="W903" s="250"/>
    </row>
    <row r="904" spans="1:23" ht="15.75" customHeight="1">
      <c r="A904" s="250"/>
      <c r="B904" s="250"/>
      <c r="W904" s="250"/>
    </row>
    <row r="905" spans="1:23" ht="15.75" customHeight="1">
      <c r="A905" s="250"/>
      <c r="B905" s="250"/>
      <c r="W905" s="250"/>
    </row>
    <row r="906" spans="1:23" ht="15.75" customHeight="1">
      <c r="A906" s="250"/>
      <c r="B906" s="250"/>
      <c r="W906" s="250"/>
    </row>
    <row r="907" spans="1:23" ht="15.75" customHeight="1">
      <c r="A907" s="250"/>
      <c r="B907" s="250"/>
      <c r="W907" s="250"/>
    </row>
    <row r="908" spans="1:23" ht="15.75" customHeight="1">
      <c r="A908" s="250"/>
      <c r="B908" s="250"/>
      <c r="W908" s="250"/>
    </row>
    <row r="909" spans="1:23" ht="15.75" customHeight="1">
      <c r="A909" s="250"/>
      <c r="B909" s="250"/>
      <c r="W909" s="250"/>
    </row>
    <row r="910" spans="1:23" ht="15.75" customHeight="1">
      <c r="A910" s="250"/>
      <c r="B910" s="250"/>
      <c r="W910" s="250"/>
    </row>
    <row r="911" spans="1:23" ht="15.75" customHeight="1">
      <c r="A911" s="250"/>
      <c r="B911" s="250"/>
      <c r="W911" s="250"/>
    </row>
    <row r="912" spans="1:23" ht="15.75" customHeight="1">
      <c r="A912" s="250"/>
      <c r="B912" s="250"/>
      <c r="W912" s="250"/>
    </row>
    <row r="913" spans="1:23" ht="15.75" customHeight="1">
      <c r="A913" s="250"/>
      <c r="B913" s="250"/>
      <c r="W913" s="250"/>
    </row>
    <row r="914" spans="1:23" ht="15.75" customHeight="1">
      <c r="A914" s="250"/>
      <c r="B914" s="250"/>
      <c r="W914" s="250"/>
    </row>
    <row r="915" spans="1:23" ht="15.75" customHeight="1">
      <c r="A915" s="250"/>
      <c r="B915" s="250"/>
      <c r="W915" s="250"/>
    </row>
    <row r="916" spans="1:23" ht="15.75" customHeight="1">
      <c r="A916" s="250"/>
      <c r="B916" s="250"/>
      <c r="W916" s="250"/>
    </row>
    <row r="917" spans="1:23" ht="15.75" customHeight="1">
      <c r="A917" s="250"/>
      <c r="B917" s="250"/>
      <c r="W917" s="250"/>
    </row>
    <row r="918" spans="1:23" ht="15.75" customHeight="1">
      <c r="A918" s="250"/>
      <c r="B918" s="250"/>
      <c r="W918" s="250"/>
    </row>
    <row r="919" spans="1:23" ht="15.75" customHeight="1">
      <c r="A919" s="250"/>
      <c r="B919" s="250"/>
      <c r="W919" s="250"/>
    </row>
    <row r="920" spans="1:23" ht="15.75" customHeight="1">
      <c r="A920" s="250"/>
      <c r="B920" s="250"/>
      <c r="W920" s="250"/>
    </row>
    <row r="921" spans="1:23" ht="15.75" customHeight="1">
      <c r="A921" s="250"/>
      <c r="B921" s="250"/>
      <c r="W921" s="250"/>
    </row>
    <row r="922" spans="1:23" ht="15.75" customHeight="1">
      <c r="A922" s="250"/>
      <c r="B922" s="250"/>
      <c r="W922" s="250"/>
    </row>
    <row r="923" spans="1:23" ht="15.75" customHeight="1">
      <c r="A923" s="250"/>
      <c r="B923" s="250"/>
      <c r="W923" s="250"/>
    </row>
    <row r="924" spans="1:23" ht="15.75" customHeight="1">
      <c r="A924" s="250"/>
      <c r="B924" s="250"/>
      <c r="W924" s="250"/>
    </row>
    <row r="925" spans="1:23" ht="15.75" customHeight="1">
      <c r="A925" s="250"/>
      <c r="B925" s="250"/>
      <c r="W925" s="250"/>
    </row>
    <row r="926" spans="1:23" ht="15.75" customHeight="1">
      <c r="A926" s="250"/>
      <c r="B926" s="250"/>
      <c r="W926" s="250"/>
    </row>
    <row r="927" spans="1:23" ht="15.75" customHeight="1">
      <c r="A927" s="250"/>
      <c r="B927" s="250"/>
      <c r="W927" s="250"/>
    </row>
    <row r="928" spans="1:23" ht="15.75" customHeight="1">
      <c r="A928" s="250"/>
      <c r="B928" s="250"/>
      <c r="W928" s="250"/>
    </row>
    <row r="929" spans="1:23" ht="15.75" customHeight="1">
      <c r="A929" s="250"/>
      <c r="B929" s="250"/>
      <c r="W929" s="250"/>
    </row>
    <row r="930" spans="1:23" ht="15.75" customHeight="1">
      <c r="A930" s="250"/>
      <c r="B930" s="250"/>
      <c r="W930" s="250"/>
    </row>
    <row r="931" spans="1:23" ht="15.75" customHeight="1">
      <c r="A931" s="250"/>
      <c r="B931" s="250"/>
      <c r="W931" s="250"/>
    </row>
    <row r="932" spans="1:23" ht="15.75" customHeight="1">
      <c r="A932" s="250"/>
      <c r="B932" s="250"/>
      <c r="W932" s="250"/>
    </row>
    <row r="933" spans="1:23" ht="15.75" customHeight="1">
      <c r="A933" s="250"/>
      <c r="B933" s="250"/>
      <c r="W933" s="250"/>
    </row>
    <row r="934" spans="1:23" ht="15.75" customHeight="1">
      <c r="A934" s="250"/>
      <c r="B934" s="250"/>
      <c r="W934" s="250"/>
    </row>
    <row r="935" spans="1:23" ht="15.75" customHeight="1">
      <c r="A935" s="250"/>
      <c r="B935" s="250"/>
      <c r="W935" s="250"/>
    </row>
    <row r="936" spans="1:23" ht="15.75" customHeight="1">
      <c r="A936" s="250"/>
      <c r="B936" s="250"/>
      <c r="W936" s="250"/>
    </row>
    <row r="937" spans="1:23" ht="15.75" customHeight="1">
      <c r="A937" s="250"/>
      <c r="B937" s="250"/>
      <c r="W937" s="250"/>
    </row>
    <row r="938" spans="1:23" ht="15.75" customHeight="1">
      <c r="A938" s="250"/>
      <c r="B938" s="250"/>
      <c r="W938" s="250"/>
    </row>
    <row r="939" spans="1:23" ht="15.75" customHeight="1">
      <c r="A939" s="250"/>
      <c r="B939" s="250"/>
      <c r="W939" s="250"/>
    </row>
    <row r="940" spans="1:23" ht="15.75" customHeight="1">
      <c r="A940" s="250"/>
      <c r="B940" s="250"/>
      <c r="W940" s="250"/>
    </row>
    <row r="941" spans="1:23" ht="15.75" customHeight="1">
      <c r="A941" s="250"/>
      <c r="B941" s="250"/>
      <c r="W941" s="250"/>
    </row>
    <row r="942" spans="1:23" ht="15.75" customHeight="1">
      <c r="A942" s="250"/>
      <c r="B942" s="250"/>
      <c r="W942" s="250"/>
    </row>
    <row r="943" spans="1:23" ht="15.75" customHeight="1">
      <c r="A943" s="250"/>
      <c r="B943" s="250"/>
      <c r="W943" s="250"/>
    </row>
    <row r="944" spans="1:23" ht="15.75" customHeight="1">
      <c r="A944" s="250"/>
      <c r="B944" s="250"/>
      <c r="W944" s="250"/>
    </row>
    <row r="945" spans="1:23" ht="15.75" customHeight="1">
      <c r="A945" s="250"/>
      <c r="B945" s="250"/>
      <c r="W945" s="250"/>
    </row>
    <row r="946" spans="1:23" ht="15.75" customHeight="1">
      <c r="A946" s="250"/>
      <c r="B946" s="250"/>
      <c r="W946" s="250"/>
    </row>
    <row r="947" spans="1:23" ht="15.75" customHeight="1">
      <c r="A947" s="250"/>
      <c r="B947" s="250"/>
      <c r="W947" s="250"/>
    </row>
    <row r="948" spans="1:23" ht="15.75" customHeight="1">
      <c r="A948" s="250"/>
      <c r="B948" s="250"/>
      <c r="W948" s="250"/>
    </row>
    <row r="949" spans="1:23" ht="15.75" customHeight="1">
      <c r="A949" s="250"/>
      <c r="B949" s="250"/>
      <c r="W949" s="250"/>
    </row>
    <row r="950" spans="1:23" ht="15.75" customHeight="1">
      <c r="A950" s="250"/>
      <c r="B950" s="250"/>
      <c r="W950" s="250"/>
    </row>
    <row r="951" spans="1:23" ht="15.75" customHeight="1">
      <c r="A951" s="250"/>
      <c r="B951" s="250"/>
      <c r="W951" s="250"/>
    </row>
    <row r="952" spans="1:23" ht="15.75" customHeight="1">
      <c r="A952" s="250"/>
      <c r="B952" s="250"/>
      <c r="W952" s="250"/>
    </row>
    <row r="953" spans="1:23" ht="15.75" customHeight="1">
      <c r="A953" s="250"/>
      <c r="B953" s="250"/>
      <c r="W953" s="250"/>
    </row>
    <row r="954" spans="1:23" ht="15.75" customHeight="1">
      <c r="A954" s="250"/>
      <c r="B954" s="250"/>
      <c r="W954" s="250"/>
    </row>
    <row r="955" spans="1:23" ht="15.75" customHeight="1">
      <c r="A955" s="250"/>
      <c r="B955" s="250"/>
      <c r="W955" s="250"/>
    </row>
    <row r="956" spans="1:23" ht="15.75" customHeight="1">
      <c r="A956" s="250"/>
      <c r="B956" s="250"/>
      <c r="W956" s="250"/>
    </row>
    <row r="957" spans="1:23" ht="15.75" customHeight="1">
      <c r="A957" s="250"/>
      <c r="B957" s="250"/>
      <c r="W957" s="250"/>
    </row>
    <row r="958" spans="1:23" ht="15.75" customHeight="1">
      <c r="A958" s="250"/>
      <c r="B958" s="250"/>
      <c r="W958" s="250"/>
    </row>
    <row r="959" spans="1:23" ht="15.75" customHeight="1">
      <c r="A959" s="250"/>
      <c r="B959" s="250"/>
      <c r="W959" s="250"/>
    </row>
    <row r="960" spans="1:23" ht="15.75" customHeight="1">
      <c r="A960" s="250"/>
      <c r="B960" s="250"/>
      <c r="W960" s="250"/>
    </row>
    <row r="961" spans="1:23" ht="15.75" customHeight="1">
      <c r="A961" s="250"/>
      <c r="B961" s="250"/>
      <c r="W961" s="250"/>
    </row>
    <row r="962" spans="1:23" ht="15.75" customHeight="1">
      <c r="A962" s="250"/>
      <c r="B962" s="250"/>
      <c r="W962" s="250"/>
    </row>
    <row r="963" spans="1:23" ht="15.75" customHeight="1">
      <c r="A963" s="250"/>
      <c r="B963" s="250"/>
      <c r="W963" s="250"/>
    </row>
    <row r="964" spans="1:23" ht="15.75" customHeight="1">
      <c r="A964" s="250"/>
      <c r="B964" s="250"/>
      <c r="W964" s="250"/>
    </row>
    <row r="965" spans="1:23" ht="15.75" customHeight="1">
      <c r="A965" s="250"/>
      <c r="B965" s="250"/>
      <c r="W965" s="250"/>
    </row>
    <row r="966" spans="1:23" ht="15.75" customHeight="1">
      <c r="A966" s="250"/>
      <c r="B966" s="250"/>
      <c r="W966" s="250"/>
    </row>
    <row r="967" spans="1:23" ht="15.75" customHeight="1">
      <c r="A967" s="250"/>
      <c r="B967" s="250"/>
      <c r="W967" s="250"/>
    </row>
    <row r="968" spans="1:23" ht="15.75" customHeight="1">
      <c r="A968" s="250"/>
      <c r="B968" s="250"/>
      <c r="W968" s="250"/>
    </row>
    <row r="969" spans="1:23" ht="15.75" customHeight="1">
      <c r="A969" s="250"/>
      <c r="B969" s="250"/>
      <c r="W969" s="250"/>
    </row>
    <row r="970" spans="1:23" ht="15.75" customHeight="1">
      <c r="A970" s="250"/>
      <c r="B970" s="250"/>
      <c r="W970" s="250"/>
    </row>
    <row r="971" spans="1:23" ht="15.75" customHeight="1">
      <c r="A971" s="250"/>
      <c r="B971" s="250"/>
      <c r="W971" s="250"/>
    </row>
    <row r="972" spans="1:23" ht="15.75" customHeight="1">
      <c r="A972" s="250"/>
      <c r="B972" s="250"/>
      <c r="W972" s="250"/>
    </row>
    <row r="973" spans="1:23" ht="15.75" customHeight="1">
      <c r="A973" s="250"/>
      <c r="B973" s="250"/>
      <c r="W973" s="250"/>
    </row>
    <row r="974" spans="1:23" ht="15.75" customHeight="1">
      <c r="A974" s="250"/>
      <c r="B974" s="250"/>
      <c r="W974" s="250"/>
    </row>
    <row r="975" spans="1:23" ht="15.75" customHeight="1">
      <c r="A975" s="250"/>
      <c r="B975" s="250"/>
      <c r="W975" s="250"/>
    </row>
    <row r="976" spans="1:23" ht="15.75" customHeight="1">
      <c r="A976" s="250"/>
      <c r="B976" s="250"/>
      <c r="W976" s="250"/>
    </row>
    <row r="977" spans="1:23" ht="15.75" customHeight="1">
      <c r="A977" s="250"/>
      <c r="B977" s="250"/>
      <c r="W977" s="250"/>
    </row>
    <row r="978" spans="1:23" ht="15.75" customHeight="1">
      <c r="A978" s="250"/>
      <c r="B978" s="250"/>
      <c r="W978" s="250"/>
    </row>
    <row r="979" spans="1:23" ht="15.75" customHeight="1">
      <c r="A979" s="250"/>
      <c r="B979" s="250"/>
      <c r="W979" s="250"/>
    </row>
    <row r="980" spans="1:23" ht="15.75" customHeight="1">
      <c r="A980" s="250"/>
      <c r="B980" s="250"/>
      <c r="W980" s="250"/>
    </row>
    <row r="981" spans="1:23" ht="15.75" customHeight="1">
      <c r="A981" s="250"/>
      <c r="B981" s="250"/>
      <c r="W981" s="250"/>
    </row>
    <row r="982" spans="1:23" ht="15.75" customHeight="1">
      <c r="A982" s="250"/>
      <c r="B982" s="250"/>
      <c r="W982" s="250"/>
    </row>
    <row r="983" spans="1:23" ht="15.75" customHeight="1">
      <c r="A983" s="250"/>
      <c r="B983" s="250"/>
      <c r="W983" s="250"/>
    </row>
    <row r="984" spans="1:23" ht="15.75" customHeight="1">
      <c r="A984" s="250"/>
      <c r="B984" s="250"/>
      <c r="W984" s="250"/>
    </row>
    <row r="985" spans="1:23" ht="15.75" customHeight="1">
      <c r="A985" s="250"/>
      <c r="B985" s="250"/>
      <c r="W985" s="250"/>
    </row>
    <row r="986" spans="1:23" ht="15.75" customHeight="1">
      <c r="A986" s="250"/>
      <c r="B986" s="250"/>
      <c r="W986" s="250"/>
    </row>
    <row r="987" spans="1:23" ht="15.75" customHeight="1">
      <c r="A987" s="250"/>
      <c r="B987" s="250"/>
      <c r="W987" s="250"/>
    </row>
    <row r="988" spans="1:23" ht="15.75" customHeight="1">
      <c r="A988" s="250"/>
      <c r="B988" s="250"/>
      <c r="W988" s="250"/>
    </row>
    <row r="989" spans="1:23" ht="15.75" customHeight="1">
      <c r="A989" s="250"/>
      <c r="B989" s="250"/>
      <c r="W989" s="250"/>
    </row>
    <row r="990" spans="1:23" ht="15.75" customHeight="1">
      <c r="A990" s="250"/>
      <c r="B990" s="250"/>
      <c r="W990" s="250"/>
    </row>
    <row r="991" spans="1:23" ht="15.75" customHeight="1">
      <c r="A991" s="250"/>
      <c r="B991" s="250"/>
      <c r="W991" s="250"/>
    </row>
    <row r="992" spans="1:23" ht="15.75" customHeight="1">
      <c r="A992" s="250"/>
      <c r="B992" s="250"/>
      <c r="W992" s="250"/>
    </row>
    <row r="993" spans="1:23" ht="15.75" customHeight="1">
      <c r="A993" s="250"/>
      <c r="B993" s="250"/>
      <c r="W993" s="250"/>
    </row>
    <row r="994" spans="1:23" ht="15.75" customHeight="1">
      <c r="A994" s="250"/>
      <c r="B994" s="250"/>
      <c r="W994" s="250"/>
    </row>
    <row r="995" spans="1:23" ht="15.75" customHeight="1">
      <c r="A995" s="250"/>
      <c r="B995" s="250"/>
      <c r="W995" s="250"/>
    </row>
    <row r="996" spans="1:23" ht="15.75" customHeight="1">
      <c r="A996" s="250"/>
      <c r="B996" s="250"/>
      <c r="W996" s="250"/>
    </row>
    <row r="997" spans="1:23" ht="15.75" customHeight="1">
      <c r="A997" s="250"/>
      <c r="B997" s="250"/>
      <c r="W997" s="250"/>
    </row>
    <row r="998" spans="1:23" ht="15.75" customHeight="1">
      <c r="A998" s="250"/>
      <c r="B998" s="250"/>
      <c r="W998" s="250"/>
    </row>
    <row r="999" spans="1:23" ht="15.75" customHeight="1">
      <c r="A999" s="250"/>
      <c r="B999" s="250"/>
      <c r="W999" s="250"/>
    </row>
    <row r="1000" spans="1:23" ht="15.75" customHeight="1">
      <c r="A1000" s="250"/>
      <c r="B1000" s="250"/>
      <c r="W1000" s="250"/>
    </row>
  </sheetData>
  <mergeCells count="40">
    <mergeCell ref="A4:A5"/>
    <mergeCell ref="B4:B5"/>
    <mergeCell ref="B57:N57"/>
    <mergeCell ref="B61:N61"/>
    <mergeCell ref="B75:N75"/>
    <mergeCell ref="B64:X64"/>
    <mergeCell ref="B65:N65"/>
    <mergeCell ref="B70:N70"/>
    <mergeCell ref="B15:X15"/>
    <mergeCell ref="X4:X5"/>
    <mergeCell ref="C120:V120"/>
    <mergeCell ref="B44:N44"/>
    <mergeCell ref="B84:N84"/>
    <mergeCell ref="B112:N112"/>
    <mergeCell ref="B79:N79"/>
    <mergeCell ref="B88:X88"/>
    <mergeCell ref="B89:N89"/>
    <mergeCell ref="B108:N108"/>
    <mergeCell ref="B102:X102"/>
    <mergeCell ref="A116:B116"/>
    <mergeCell ref="C118:V118"/>
    <mergeCell ref="B93:N93"/>
    <mergeCell ref="B95:N95"/>
    <mergeCell ref="B103:N103"/>
    <mergeCell ref="Z3:AA3"/>
    <mergeCell ref="Y2:AE2"/>
    <mergeCell ref="B48:N48"/>
    <mergeCell ref="B53:N53"/>
    <mergeCell ref="B32:X32"/>
    <mergeCell ref="B36:N36"/>
    <mergeCell ref="B33:N33"/>
    <mergeCell ref="C2:X2"/>
    <mergeCell ref="C3:N3"/>
    <mergeCell ref="O3:P3"/>
    <mergeCell ref="Q3:R3"/>
    <mergeCell ref="S3:T3"/>
    <mergeCell ref="U3:V3"/>
    <mergeCell ref="W4:W5"/>
    <mergeCell ref="Y4:Y5"/>
    <mergeCell ref="A6:B6"/>
  </mergeCells>
  <conditionalFormatting sqref="F16:N16">
    <cfRule type="colorScale" priority="1">
      <colorScale>
        <cfvo type="min"/>
        <cfvo type="max"/>
        <color rgb="FF57BB8A"/>
        <color rgb="FFFFFFFF"/>
      </colorScale>
    </cfRule>
  </conditionalFormatting>
  <conditionalFormatting sqref="H17:I18">
    <cfRule type="colorScale" priority="2">
      <colorScale>
        <cfvo type="min"/>
        <cfvo type="max"/>
        <color rgb="FF57BB8A"/>
        <color rgb="FFFFFFFF"/>
      </colorScale>
    </cfRule>
  </conditionalFormatting>
  <conditionalFormatting sqref="J19:K19">
    <cfRule type="colorScale" priority="3">
      <colorScale>
        <cfvo type="min"/>
        <cfvo type="max"/>
        <color rgb="FF57BB8A"/>
        <color rgb="FFFFFFFF"/>
      </colorScale>
    </cfRule>
  </conditionalFormatting>
  <conditionalFormatting sqref="C6:D14 E6:E7 F6:G14 H6:I6 J7:L7 Q7:R7 H8:I14 E10:E14 C17:G31 H19:I31 C34:G35 H34 C37:I43 C45:H47 I46 C49:C52 D49 E49:H52 I50:I52 D51:D52 C54:I56 C58:I60 C62:I63 C66:F69 G66:G69 H66:I69 C71:F74 G74 C76:F78 C80:F83 G80:G83 H81:I83 C85:F87 G85:G87 H85:I87 C116:I116">
    <cfRule type="colorScale" priority="4">
      <colorScale>
        <cfvo type="min"/>
        <cfvo type="max"/>
        <color rgb="FF57BB8A"/>
        <color rgb="FFFFFFFF"/>
      </colorScale>
    </cfRule>
  </conditionalFormatting>
  <conditionalFormatting sqref="J20:N20">
    <cfRule type="colorScale" priority="5">
      <colorScale>
        <cfvo type="min"/>
        <cfvo type="max"/>
        <color rgb="FF57BB8A"/>
        <color rgb="FFFFFFFF"/>
      </colorScale>
    </cfRule>
  </conditionalFormatting>
  <conditionalFormatting sqref="J21:K22">
    <cfRule type="colorScale" priority="6">
      <colorScale>
        <cfvo type="min"/>
        <cfvo type="max"/>
        <color rgb="FF57BB8A"/>
        <color rgb="FFFFFFFF"/>
      </colorScale>
    </cfRule>
  </conditionalFormatting>
  <conditionalFormatting sqref="K23:N23">
    <cfRule type="colorScale" priority="7">
      <colorScale>
        <cfvo type="min"/>
        <cfvo type="max"/>
        <color rgb="FF57BB8A"/>
        <color rgb="FFFFFFFF"/>
      </colorScale>
    </cfRule>
  </conditionalFormatting>
  <conditionalFormatting sqref="K24:N27">
    <cfRule type="colorScale" priority="8">
      <colorScale>
        <cfvo type="min"/>
        <cfvo type="max"/>
        <color rgb="FF57BB8A"/>
        <color rgb="FFFFFFFF"/>
      </colorScale>
    </cfRule>
  </conditionalFormatting>
  <conditionalFormatting sqref="M28:N28">
    <cfRule type="colorScale" priority="9">
      <colorScale>
        <cfvo type="min"/>
        <cfvo type="max"/>
        <color rgb="FF57BB8A"/>
        <color rgb="FFFFFFFF"/>
      </colorScale>
    </cfRule>
  </conditionalFormatting>
  <conditionalFormatting sqref="N29:N30">
    <cfRule type="colorScale" priority="10">
      <colorScale>
        <cfvo type="min"/>
        <cfvo type="max"/>
        <color rgb="FF57BB8A"/>
        <color rgb="FFFFFFFF"/>
      </colorScale>
    </cfRule>
  </conditionalFormatting>
  <conditionalFormatting sqref="M31:N31">
    <cfRule type="colorScale" priority="11">
      <colorScale>
        <cfvo type="min"/>
        <cfvo type="max"/>
        <color rgb="FF57BB8A"/>
        <color rgb="FFFFFFFF"/>
      </colorScale>
    </cfRule>
  </conditionalFormatting>
  <conditionalFormatting sqref="I34:J34">
    <cfRule type="colorScale" priority="12">
      <colorScale>
        <cfvo type="min"/>
        <cfvo type="max"/>
        <color rgb="FF57BB8A"/>
        <color rgb="FFFFFFFF"/>
      </colorScale>
    </cfRule>
  </conditionalFormatting>
  <conditionalFormatting sqref="H35:N35">
    <cfRule type="colorScale" priority="13">
      <colorScale>
        <cfvo type="min"/>
        <cfvo type="max"/>
        <color rgb="FF57BB8A"/>
        <color rgb="FFFFFFFF"/>
      </colorScale>
    </cfRule>
  </conditionalFormatting>
  <conditionalFormatting sqref="J37:K42">
    <cfRule type="colorScale" priority="14">
      <colorScale>
        <cfvo type="min"/>
        <cfvo type="max"/>
        <color rgb="FF57BB8A"/>
        <color rgb="FFFFFFFF"/>
      </colorScale>
    </cfRule>
  </conditionalFormatting>
  <conditionalFormatting sqref="M43:N43">
    <cfRule type="colorScale" priority="15">
      <colorScale>
        <cfvo type="min"/>
        <cfvo type="max"/>
        <color rgb="FF57BB8A"/>
        <color rgb="FFFFFFFF"/>
      </colorScale>
    </cfRule>
  </conditionalFormatting>
  <conditionalFormatting sqref="I45:J45">
    <cfRule type="colorScale" priority="16">
      <colorScale>
        <cfvo type="min"/>
        <cfvo type="max"/>
        <color rgb="FF57BB8A"/>
        <color rgb="FFFFFFFF"/>
      </colorScale>
    </cfRule>
  </conditionalFormatting>
  <conditionalFormatting sqref="K46:M46">
    <cfRule type="colorScale" priority="17">
      <colorScale>
        <cfvo type="min"/>
        <cfvo type="max"/>
        <color rgb="FF57BB8A"/>
        <color rgb="FFFFFFFF"/>
      </colorScale>
    </cfRule>
  </conditionalFormatting>
  <conditionalFormatting sqref="I47:K47">
    <cfRule type="colorScale" priority="18">
      <colorScale>
        <cfvo type="min"/>
        <cfvo type="max"/>
        <color rgb="FF57BB8A"/>
        <color rgb="FFFFFFFF"/>
      </colorScale>
    </cfRule>
  </conditionalFormatting>
  <conditionalFormatting sqref="I49:J49">
    <cfRule type="colorScale" priority="19">
      <colorScale>
        <cfvo type="min"/>
        <cfvo type="max"/>
        <color rgb="FF57BB8A"/>
        <color rgb="FFFFFFFF"/>
      </colorScale>
    </cfRule>
  </conditionalFormatting>
  <conditionalFormatting sqref="J50:L50">
    <cfRule type="colorScale" priority="20">
      <colorScale>
        <cfvo type="min"/>
        <cfvo type="max"/>
        <color rgb="FF57BB8A"/>
        <color rgb="FFFFFFFF"/>
      </colorScale>
    </cfRule>
  </conditionalFormatting>
  <conditionalFormatting sqref="M51:N51">
    <cfRule type="colorScale" priority="21">
      <colorScale>
        <cfvo type="min"/>
        <cfvo type="max"/>
        <color rgb="FF57BB8A"/>
        <color rgb="FFFFFFFF"/>
      </colorScale>
    </cfRule>
  </conditionalFormatting>
  <conditionalFormatting sqref="N52:P52">
    <cfRule type="colorScale" priority="22">
      <colorScale>
        <cfvo type="min"/>
        <cfvo type="max"/>
        <color rgb="FF57BB8A"/>
        <color rgb="FFFFFFFF"/>
      </colorScale>
    </cfRule>
  </conditionalFormatting>
  <conditionalFormatting sqref="K54:L54">
    <cfRule type="colorScale" priority="23">
      <colorScale>
        <cfvo type="min"/>
        <cfvo type="max"/>
        <color rgb="FF57BB8A"/>
        <color rgb="FFFFFFFF"/>
      </colorScale>
    </cfRule>
  </conditionalFormatting>
  <conditionalFormatting sqref="K55:M55">
    <cfRule type="colorScale" priority="24">
      <colorScale>
        <cfvo type="min"/>
        <cfvo type="max"/>
        <color rgb="FF57BB8A"/>
        <color rgb="FFFFFFFF"/>
      </colorScale>
    </cfRule>
  </conditionalFormatting>
  <conditionalFormatting sqref="L56:N56">
    <cfRule type="colorScale" priority="25">
      <colorScale>
        <cfvo type="min"/>
        <cfvo type="max"/>
        <color rgb="FF57BB8A"/>
        <color rgb="FFFFFFFF"/>
      </colorScale>
    </cfRule>
  </conditionalFormatting>
  <conditionalFormatting sqref="J58:K58">
    <cfRule type="colorScale" priority="26">
      <colorScale>
        <cfvo type="min"/>
        <cfvo type="max"/>
        <color rgb="FF57BB8A"/>
        <color rgb="FFFFFFFF"/>
      </colorScale>
    </cfRule>
  </conditionalFormatting>
  <conditionalFormatting sqref="L59:M59">
    <cfRule type="colorScale" priority="27">
      <colorScale>
        <cfvo type="min"/>
        <cfvo type="max"/>
        <color rgb="FF57BB8A"/>
        <color rgb="FFFFFFFF"/>
      </colorScale>
    </cfRule>
  </conditionalFormatting>
  <conditionalFormatting sqref="M60:N60">
    <cfRule type="colorScale" priority="28">
      <colorScale>
        <cfvo type="min"/>
        <cfvo type="max"/>
        <color rgb="FF57BB8A"/>
        <color rgb="FFFFFFFF"/>
      </colorScale>
    </cfRule>
  </conditionalFormatting>
  <conditionalFormatting sqref="L62:M63">
    <cfRule type="colorScale" priority="29">
      <colorScale>
        <cfvo type="min"/>
        <cfvo type="max"/>
        <color rgb="FF57BB8A"/>
        <color rgb="FFFFFFFF"/>
      </colorScale>
    </cfRule>
  </conditionalFormatting>
  <conditionalFormatting sqref="G71:K73">
    <cfRule type="colorScale" priority="30">
      <colorScale>
        <cfvo type="min"/>
        <cfvo type="max"/>
        <color rgb="FF57BB8A"/>
        <color rgb="FFFFFFFF"/>
      </colorScale>
    </cfRule>
  </conditionalFormatting>
  <conditionalFormatting sqref="H74:J74">
    <cfRule type="colorScale" priority="31">
      <colorScale>
        <cfvo type="min"/>
        <cfvo type="max"/>
        <color rgb="FF57BB8A"/>
        <color rgb="FFFFFFFF"/>
      </colorScale>
    </cfRule>
  </conditionalFormatting>
  <conditionalFormatting sqref="G76:J78">
    <cfRule type="colorScale" priority="32">
      <colorScale>
        <cfvo type="min"/>
        <cfvo type="max"/>
        <color rgb="FF57BB8A"/>
        <color rgb="FFFFFFFF"/>
      </colorScale>
    </cfRule>
  </conditionalFormatting>
  <conditionalFormatting sqref="H80:I80">
    <cfRule type="colorScale" priority="33">
      <colorScale>
        <cfvo type="min"/>
        <cfvo type="max"/>
        <color rgb="FF57BB8A"/>
        <color rgb="FFFFFFFF"/>
      </colorScale>
    </cfRule>
  </conditionalFormatting>
  <conditionalFormatting sqref="J81:K81">
    <cfRule type="colorScale" priority="34">
      <colorScale>
        <cfvo type="min"/>
        <cfvo type="max"/>
        <color rgb="FF57BB8A"/>
        <color rgb="FFFFFFFF"/>
      </colorScale>
    </cfRule>
  </conditionalFormatting>
  <conditionalFormatting sqref="L82:N82">
    <cfRule type="colorScale" priority="35">
      <colorScale>
        <cfvo type="min"/>
        <cfvo type="max"/>
        <color rgb="FF57BB8A"/>
        <color rgb="FFFFFFFF"/>
      </colorScale>
    </cfRule>
  </conditionalFormatting>
  <conditionalFormatting sqref="M83:N83 M85:N87">
    <cfRule type="colorScale" priority="36">
      <colorScale>
        <cfvo type="min"/>
        <cfvo type="max"/>
        <color rgb="FF57BB8A"/>
        <color rgb="FFFFFFFF"/>
      </colorScale>
    </cfRule>
  </conditionalFormatting>
  <conditionalFormatting sqref="H98:K101">
    <cfRule type="colorScale" priority="37">
      <colorScale>
        <cfvo type="min"/>
        <cfvo type="max"/>
        <color rgb="FF57BB8A"/>
        <color rgb="FFFFFFFF"/>
      </colorScale>
    </cfRule>
  </conditionalFormatting>
  <conditionalFormatting sqref="L109:N111 L113:N115">
    <cfRule type="colorScale" priority="38">
      <colorScale>
        <cfvo type="min"/>
        <cfvo type="max"/>
        <color rgb="FF57BB8A"/>
        <color rgb="FFFFFFFF"/>
      </colorScale>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C204-1083-4F83-81F4-38F90459ED88}">
  <dimension ref="A1:AB972"/>
  <sheetViews>
    <sheetView topLeftCell="A124" workbookViewId="0">
      <selection activeCell="AB132" sqref="AB132"/>
    </sheetView>
  </sheetViews>
  <sheetFormatPr defaultColWidth="14.42578125" defaultRowHeight="12.75"/>
  <cols>
    <col min="1" max="1" width="58.42578125" style="721" customWidth="1"/>
    <col min="2" max="2" width="14.140625" style="721" hidden="1" customWidth="1"/>
    <col min="3" max="3" width="10.42578125" style="721" hidden="1" customWidth="1"/>
    <col min="4" max="4" width="15.42578125" style="721" hidden="1" customWidth="1"/>
    <col min="5" max="5" width="14.85546875" style="721" hidden="1" customWidth="1"/>
    <col min="6" max="6" width="12.140625" style="721" customWidth="1"/>
    <col min="7" max="7" width="9.42578125" style="721" hidden="1" customWidth="1"/>
    <col min="8" max="8" width="11.85546875" style="721" hidden="1" customWidth="1"/>
    <col min="9" max="9" width="14.42578125" style="721" hidden="1" customWidth="1"/>
    <col min="10" max="10" width="35.85546875" style="721" hidden="1" customWidth="1"/>
    <col min="11" max="11" width="24.7109375" style="908" hidden="1" customWidth="1"/>
    <col min="12" max="12" width="26.5703125" style="721" hidden="1" customWidth="1"/>
    <col min="13" max="13" width="12.140625" style="721" hidden="1" customWidth="1"/>
    <col min="14" max="15" width="8.85546875" style="721" hidden="1" customWidth="1"/>
    <col min="16" max="18" width="12.7109375" style="721" hidden="1" customWidth="1"/>
    <col min="19" max="19" width="11.85546875" style="721" hidden="1" customWidth="1"/>
    <col min="20" max="20" width="8.85546875" style="721" hidden="1" customWidth="1"/>
    <col min="21" max="21" width="9.85546875" style="721" customWidth="1"/>
    <col min="22" max="22" width="12.85546875" style="721" customWidth="1"/>
    <col min="23" max="23" width="12.7109375" style="721" customWidth="1"/>
    <col min="24" max="28" width="8.85546875" style="721" customWidth="1"/>
    <col min="29" max="256" width="14.42578125" style="721"/>
    <col min="257" max="257" width="58.42578125" style="721" customWidth="1"/>
    <col min="258" max="261" width="0" style="721" hidden="1" customWidth="1"/>
    <col min="262" max="262" width="12.140625" style="721" customWidth="1"/>
    <col min="263" max="276" width="0" style="721" hidden="1" customWidth="1"/>
    <col min="277" max="277" width="9.85546875" style="721" customWidth="1"/>
    <col min="278" max="278" width="12.85546875" style="721" customWidth="1"/>
    <col min="279" max="279" width="12.7109375" style="721" customWidth="1"/>
    <col min="280" max="284" width="8.85546875" style="721" customWidth="1"/>
    <col min="285" max="512" width="14.42578125" style="721"/>
    <col min="513" max="513" width="58.42578125" style="721" customWidth="1"/>
    <col min="514" max="517" width="0" style="721" hidden="1" customWidth="1"/>
    <col min="518" max="518" width="12.140625" style="721" customWidth="1"/>
    <col min="519" max="532" width="0" style="721" hidden="1" customWidth="1"/>
    <col min="533" max="533" width="9.85546875" style="721" customWidth="1"/>
    <col min="534" max="534" width="12.85546875" style="721" customWidth="1"/>
    <col min="535" max="535" width="12.7109375" style="721" customWidth="1"/>
    <col min="536" max="540" width="8.85546875" style="721" customWidth="1"/>
    <col min="541" max="768" width="14.42578125" style="721"/>
    <col min="769" max="769" width="58.42578125" style="721" customWidth="1"/>
    <col min="770" max="773" width="0" style="721" hidden="1" customWidth="1"/>
    <col min="774" max="774" width="12.140625" style="721" customWidth="1"/>
    <col min="775" max="788" width="0" style="721" hidden="1" customWidth="1"/>
    <col min="789" max="789" width="9.85546875" style="721" customWidth="1"/>
    <col min="790" max="790" width="12.85546875" style="721" customWidth="1"/>
    <col min="791" max="791" width="12.7109375" style="721" customWidth="1"/>
    <col min="792" max="796" width="8.85546875" style="721" customWidth="1"/>
    <col min="797" max="1024" width="14.42578125" style="721"/>
    <col min="1025" max="1025" width="58.42578125" style="721" customWidth="1"/>
    <col min="1026" max="1029" width="0" style="721" hidden="1" customWidth="1"/>
    <col min="1030" max="1030" width="12.140625" style="721" customWidth="1"/>
    <col min="1031" max="1044" width="0" style="721" hidden="1" customWidth="1"/>
    <col min="1045" max="1045" width="9.85546875" style="721" customWidth="1"/>
    <col min="1046" max="1046" width="12.85546875" style="721" customWidth="1"/>
    <col min="1047" max="1047" width="12.7109375" style="721" customWidth="1"/>
    <col min="1048" max="1052" width="8.85546875" style="721" customWidth="1"/>
    <col min="1053" max="1280" width="14.42578125" style="721"/>
    <col min="1281" max="1281" width="58.42578125" style="721" customWidth="1"/>
    <col min="1282" max="1285" width="0" style="721" hidden="1" customWidth="1"/>
    <col min="1286" max="1286" width="12.140625" style="721" customWidth="1"/>
    <col min="1287" max="1300" width="0" style="721" hidden="1" customWidth="1"/>
    <col min="1301" max="1301" width="9.85546875" style="721" customWidth="1"/>
    <col min="1302" max="1302" width="12.85546875" style="721" customWidth="1"/>
    <col min="1303" max="1303" width="12.7109375" style="721" customWidth="1"/>
    <col min="1304" max="1308" width="8.85546875" style="721" customWidth="1"/>
    <col min="1309" max="1536" width="14.42578125" style="721"/>
    <col min="1537" max="1537" width="58.42578125" style="721" customWidth="1"/>
    <col min="1538" max="1541" width="0" style="721" hidden="1" customWidth="1"/>
    <col min="1542" max="1542" width="12.140625" style="721" customWidth="1"/>
    <col min="1543" max="1556" width="0" style="721" hidden="1" customWidth="1"/>
    <col min="1557" max="1557" width="9.85546875" style="721" customWidth="1"/>
    <col min="1558" max="1558" width="12.85546875" style="721" customWidth="1"/>
    <col min="1559" max="1559" width="12.7109375" style="721" customWidth="1"/>
    <col min="1560" max="1564" width="8.85546875" style="721" customWidth="1"/>
    <col min="1565" max="1792" width="14.42578125" style="721"/>
    <col min="1793" max="1793" width="58.42578125" style="721" customWidth="1"/>
    <col min="1794" max="1797" width="0" style="721" hidden="1" customWidth="1"/>
    <col min="1798" max="1798" width="12.140625" style="721" customWidth="1"/>
    <col min="1799" max="1812" width="0" style="721" hidden="1" customWidth="1"/>
    <col min="1813" max="1813" width="9.85546875" style="721" customWidth="1"/>
    <col min="1814" max="1814" width="12.85546875" style="721" customWidth="1"/>
    <col min="1815" max="1815" width="12.7109375" style="721" customWidth="1"/>
    <col min="1816" max="1820" width="8.85546875" style="721" customWidth="1"/>
    <col min="1821" max="2048" width="14.42578125" style="721"/>
    <col min="2049" max="2049" width="58.42578125" style="721" customWidth="1"/>
    <col min="2050" max="2053" width="0" style="721" hidden="1" customWidth="1"/>
    <col min="2054" max="2054" width="12.140625" style="721" customWidth="1"/>
    <col min="2055" max="2068" width="0" style="721" hidden="1" customWidth="1"/>
    <col min="2069" max="2069" width="9.85546875" style="721" customWidth="1"/>
    <col min="2070" max="2070" width="12.85546875" style="721" customWidth="1"/>
    <col min="2071" max="2071" width="12.7109375" style="721" customWidth="1"/>
    <col min="2072" max="2076" width="8.85546875" style="721" customWidth="1"/>
    <col min="2077" max="2304" width="14.42578125" style="721"/>
    <col min="2305" max="2305" width="58.42578125" style="721" customWidth="1"/>
    <col min="2306" max="2309" width="0" style="721" hidden="1" customWidth="1"/>
    <col min="2310" max="2310" width="12.140625" style="721" customWidth="1"/>
    <col min="2311" max="2324" width="0" style="721" hidden="1" customWidth="1"/>
    <col min="2325" max="2325" width="9.85546875" style="721" customWidth="1"/>
    <col min="2326" max="2326" width="12.85546875" style="721" customWidth="1"/>
    <col min="2327" max="2327" width="12.7109375" style="721" customWidth="1"/>
    <col min="2328" max="2332" width="8.85546875" style="721" customWidth="1"/>
    <col min="2333" max="2560" width="14.42578125" style="721"/>
    <col min="2561" max="2561" width="58.42578125" style="721" customWidth="1"/>
    <col min="2562" max="2565" width="0" style="721" hidden="1" customWidth="1"/>
    <col min="2566" max="2566" width="12.140625" style="721" customWidth="1"/>
    <col min="2567" max="2580" width="0" style="721" hidden="1" customWidth="1"/>
    <col min="2581" max="2581" width="9.85546875" style="721" customWidth="1"/>
    <col min="2582" max="2582" width="12.85546875" style="721" customWidth="1"/>
    <col min="2583" max="2583" width="12.7109375" style="721" customWidth="1"/>
    <col min="2584" max="2588" width="8.85546875" style="721" customWidth="1"/>
    <col min="2589" max="2816" width="14.42578125" style="721"/>
    <col min="2817" max="2817" width="58.42578125" style="721" customWidth="1"/>
    <col min="2818" max="2821" width="0" style="721" hidden="1" customWidth="1"/>
    <col min="2822" max="2822" width="12.140625" style="721" customWidth="1"/>
    <col min="2823" max="2836" width="0" style="721" hidden="1" customWidth="1"/>
    <col min="2837" max="2837" width="9.85546875" style="721" customWidth="1"/>
    <col min="2838" max="2838" width="12.85546875" style="721" customWidth="1"/>
    <col min="2839" max="2839" width="12.7109375" style="721" customWidth="1"/>
    <col min="2840" max="2844" width="8.85546875" style="721" customWidth="1"/>
    <col min="2845" max="3072" width="14.42578125" style="721"/>
    <col min="3073" max="3073" width="58.42578125" style="721" customWidth="1"/>
    <col min="3074" max="3077" width="0" style="721" hidden="1" customWidth="1"/>
    <col min="3078" max="3078" width="12.140625" style="721" customWidth="1"/>
    <col min="3079" max="3092" width="0" style="721" hidden="1" customWidth="1"/>
    <col min="3093" max="3093" width="9.85546875" style="721" customWidth="1"/>
    <col min="3094" max="3094" width="12.85546875" style="721" customWidth="1"/>
    <col min="3095" max="3095" width="12.7109375" style="721" customWidth="1"/>
    <col min="3096" max="3100" width="8.85546875" style="721" customWidth="1"/>
    <col min="3101" max="3328" width="14.42578125" style="721"/>
    <col min="3329" max="3329" width="58.42578125" style="721" customWidth="1"/>
    <col min="3330" max="3333" width="0" style="721" hidden="1" customWidth="1"/>
    <col min="3334" max="3334" width="12.140625" style="721" customWidth="1"/>
    <col min="3335" max="3348" width="0" style="721" hidden="1" customWidth="1"/>
    <col min="3349" max="3349" width="9.85546875" style="721" customWidth="1"/>
    <col min="3350" max="3350" width="12.85546875" style="721" customWidth="1"/>
    <col min="3351" max="3351" width="12.7109375" style="721" customWidth="1"/>
    <col min="3352" max="3356" width="8.85546875" style="721" customWidth="1"/>
    <col min="3357" max="3584" width="14.42578125" style="721"/>
    <col min="3585" max="3585" width="58.42578125" style="721" customWidth="1"/>
    <col min="3586" max="3589" width="0" style="721" hidden="1" customWidth="1"/>
    <col min="3590" max="3590" width="12.140625" style="721" customWidth="1"/>
    <col min="3591" max="3604" width="0" style="721" hidden="1" customWidth="1"/>
    <col min="3605" max="3605" width="9.85546875" style="721" customWidth="1"/>
    <col min="3606" max="3606" width="12.85546875" style="721" customWidth="1"/>
    <col min="3607" max="3607" width="12.7109375" style="721" customWidth="1"/>
    <col min="3608" max="3612" width="8.85546875" style="721" customWidth="1"/>
    <col min="3613" max="3840" width="14.42578125" style="721"/>
    <col min="3841" max="3841" width="58.42578125" style="721" customWidth="1"/>
    <col min="3842" max="3845" width="0" style="721" hidden="1" customWidth="1"/>
    <col min="3846" max="3846" width="12.140625" style="721" customWidth="1"/>
    <col min="3847" max="3860" width="0" style="721" hidden="1" customWidth="1"/>
    <col min="3861" max="3861" width="9.85546875" style="721" customWidth="1"/>
    <col min="3862" max="3862" width="12.85546875" style="721" customWidth="1"/>
    <col min="3863" max="3863" width="12.7109375" style="721" customWidth="1"/>
    <col min="3864" max="3868" width="8.85546875" style="721" customWidth="1"/>
    <col min="3869" max="4096" width="14.42578125" style="721"/>
    <col min="4097" max="4097" width="58.42578125" style="721" customWidth="1"/>
    <col min="4098" max="4101" width="0" style="721" hidden="1" customWidth="1"/>
    <col min="4102" max="4102" width="12.140625" style="721" customWidth="1"/>
    <col min="4103" max="4116" width="0" style="721" hidden="1" customWidth="1"/>
    <col min="4117" max="4117" width="9.85546875" style="721" customWidth="1"/>
    <col min="4118" max="4118" width="12.85546875" style="721" customWidth="1"/>
    <col min="4119" max="4119" width="12.7109375" style="721" customWidth="1"/>
    <col min="4120" max="4124" width="8.85546875" style="721" customWidth="1"/>
    <col min="4125" max="4352" width="14.42578125" style="721"/>
    <col min="4353" max="4353" width="58.42578125" style="721" customWidth="1"/>
    <col min="4354" max="4357" width="0" style="721" hidden="1" customWidth="1"/>
    <col min="4358" max="4358" width="12.140625" style="721" customWidth="1"/>
    <col min="4359" max="4372" width="0" style="721" hidden="1" customWidth="1"/>
    <col min="4373" max="4373" width="9.85546875" style="721" customWidth="1"/>
    <col min="4374" max="4374" width="12.85546875" style="721" customWidth="1"/>
    <col min="4375" max="4375" width="12.7109375" style="721" customWidth="1"/>
    <col min="4376" max="4380" width="8.85546875" style="721" customWidth="1"/>
    <col min="4381" max="4608" width="14.42578125" style="721"/>
    <col min="4609" max="4609" width="58.42578125" style="721" customWidth="1"/>
    <col min="4610" max="4613" width="0" style="721" hidden="1" customWidth="1"/>
    <col min="4614" max="4614" width="12.140625" style="721" customWidth="1"/>
    <col min="4615" max="4628" width="0" style="721" hidden="1" customWidth="1"/>
    <col min="4629" max="4629" width="9.85546875" style="721" customWidth="1"/>
    <col min="4630" max="4630" width="12.85546875" style="721" customWidth="1"/>
    <col min="4631" max="4631" width="12.7109375" style="721" customWidth="1"/>
    <col min="4632" max="4636" width="8.85546875" style="721" customWidth="1"/>
    <col min="4637" max="4864" width="14.42578125" style="721"/>
    <col min="4865" max="4865" width="58.42578125" style="721" customWidth="1"/>
    <col min="4866" max="4869" width="0" style="721" hidden="1" customWidth="1"/>
    <col min="4870" max="4870" width="12.140625" style="721" customWidth="1"/>
    <col min="4871" max="4884" width="0" style="721" hidden="1" customWidth="1"/>
    <col min="4885" max="4885" width="9.85546875" style="721" customWidth="1"/>
    <col min="4886" max="4886" width="12.85546875" style="721" customWidth="1"/>
    <col min="4887" max="4887" width="12.7109375" style="721" customWidth="1"/>
    <col min="4888" max="4892" width="8.85546875" style="721" customWidth="1"/>
    <col min="4893" max="5120" width="14.42578125" style="721"/>
    <col min="5121" max="5121" width="58.42578125" style="721" customWidth="1"/>
    <col min="5122" max="5125" width="0" style="721" hidden="1" customWidth="1"/>
    <col min="5126" max="5126" width="12.140625" style="721" customWidth="1"/>
    <col min="5127" max="5140" width="0" style="721" hidden="1" customWidth="1"/>
    <col min="5141" max="5141" width="9.85546875" style="721" customWidth="1"/>
    <col min="5142" max="5142" width="12.85546875" style="721" customWidth="1"/>
    <col min="5143" max="5143" width="12.7109375" style="721" customWidth="1"/>
    <col min="5144" max="5148" width="8.85546875" style="721" customWidth="1"/>
    <col min="5149" max="5376" width="14.42578125" style="721"/>
    <col min="5377" max="5377" width="58.42578125" style="721" customWidth="1"/>
    <col min="5378" max="5381" width="0" style="721" hidden="1" customWidth="1"/>
    <col min="5382" max="5382" width="12.140625" style="721" customWidth="1"/>
    <col min="5383" max="5396" width="0" style="721" hidden="1" customWidth="1"/>
    <col min="5397" max="5397" width="9.85546875" style="721" customWidth="1"/>
    <col min="5398" max="5398" width="12.85546875" style="721" customWidth="1"/>
    <col min="5399" max="5399" width="12.7109375" style="721" customWidth="1"/>
    <col min="5400" max="5404" width="8.85546875" style="721" customWidth="1"/>
    <col min="5405" max="5632" width="14.42578125" style="721"/>
    <col min="5633" max="5633" width="58.42578125" style="721" customWidth="1"/>
    <col min="5634" max="5637" width="0" style="721" hidden="1" customWidth="1"/>
    <col min="5638" max="5638" width="12.140625" style="721" customWidth="1"/>
    <col min="5639" max="5652" width="0" style="721" hidden="1" customWidth="1"/>
    <col min="5653" max="5653" width="9.85546875" style="721" customWidth="1"/>
    <col min="5654" max="5654" width="12.85546875" style="721" customWidth="1"/>
    <col min="5655" max="5655" width="12.7109375" style="721" customWidth="1"/>
    <col min="5656" max="5660" width="8.85546875" style="721" customWidth="1"/>
    <col min="5661" max="5888" width="14.42578125" style="721"/>
    <col min="5889" max="5889" width="58.42578125" style="721" customWidth="1"/>
    <col min="5890" max="5893" width="0" style="721" hidden="1" customWidth="1"/>
    <col min="5894" max="5894" width="12.140625" style="721" customWidth="1"/>
    <col min="5895" max="5908" width="0" style="721" hidden="1" customWidth="1"/>
    <col min="5909" max="5909" width="9.85546875" style="721" customWidth="1"/>
    <col min="5910" max="5910" width="12.85546875" style="721" customWidth="1"/>
    <col min="5911" max="5911" width="12.7109375" style="721" customWidth="1"/>
    <col min="5912" max="5916" width="8.85546875" style="721" customWidth="1"/>
    <col min="5917" max="6144" width="14.42578125" style="721"/>
    <col min="6145" max="6145" width="58.42578125" style="721" customWidth="1"/>
    <col min="6146" max="6149" width="0" style="721" hidden="1" customWidth="1"/>
    <col min="6150" max="6150" width="12.140625" style="721" customWidth="1"/>
    <col min="6151" max="6164" width="0" style="721" hidden="1" customWidth="1"/>
    <col min="6165" max="6165" width="9.85546875" style="721" customWidth="1"/>
    <col min="6166" max="6166" width="12.85546875" style="721" customWidth="1"/>
    <col min="6167" max="6167" width="12.7109375" style="721" customWidth="1"/>
    <col min="6168" max="6172" width="8.85546875" style="721" customWidth="1"/>
    <col min="6173" max="6400" width="14.42578125" style="721"/>
    <col min="6401" max="6401" width="58.42578125" style="721" customWidth="1"/>
    <col min="6402" max="6405" width="0" style="721" hidden="1" customWidth="1"/>
    <col min="6406" max="6406" width="12.140625" style="721" customWidth="1"/>
    <col min="6407" max="6420" width="0" style="721" hidden="1" customWidth="1"/>
    <col min="6421" max="6421" width="9.85546875" style="721" customWidth="1"/>
    <col min="6422" max="6422" width="12.85546875" style="721" customWidth="1"/>
    <col min="6423" max="6423" width="12.7109375" style="721" customWidth="1"/>
    <col min="6424" max="6428" width="8.85546875" style="721" customWidth="1"/>
    <col min="6429" max="6656" width="14.42578125" style="721"/>
    <col min="6657" max="6657" width="58.42578125" style="721" customWidth="1"/>
    <col min="6658" max="6661" width="0" style="721" hidden="1" customWidth="1"/>
    <col min="6662" max="6662" width="12.140625" style="721" customWidth="1"/>
    <col min="6663" max="6676" width="0" style="721" hidden="1" customWidth="1"/>
    <col min="6677" max="6677" width="9.85546875" style="721" customWidth="1"/>
    <col min="6678" max="6678" width="12.85546875" style="721" customWidth="1"/>
    <col min="6679" max="6679" width="12.7109375" style="721" customWidth="1"/>
    <col min="6680" max="6684" width="8.85546875" style="721" customWidth="1"/>
    <col min="6685" max="6912" width="14.42578125" style="721"/>
    <col min="6913" max="6913" width="58.42578125" style="721" customWidth="1"/>
    <col min="6914" max="6917" width="0" style="721" hidden="1" customWidth="1"/>
    <col min="6918" max="6918" width="12.140625" style="721" customWidth="1"/>
    <col min="6919" max="6932" width="0" style="721" hidden="1" customWidth="1"/>
    <col min="6933" max="6933" width="9.85546875" style="721" customWidth="1"/>
    <col min="6934" max="6934" width="12.85546875" style="721" customWidth="1"/>
    <col min="6935" max="6935" width="12.7109375" style="721" customWidth="1"/>
    <col min="6936" max="6940" width="8.85546875" style="721" customWidth="1"/>
    <col min="6941" max="7168" width="14.42578125" style="721"/>
    <col min="7169" max="7169" width="58.42578125" style="721" customWidth="1"/>
    <col min="7170" max="7173" width="0" style="721" hidden="1" customWidth="1"/>
    <col min="7174" max="7174" width="12.140625" style="721" customWidth="1"/>
    <col min="7175" max="7188" width="0" style="721" hidden="1" customWidth="1"/>
    <col min="7189" max="7189" width="9.85546875" style="721" customWidth="1"/>
    <col min="7190" max="7190" width="12.85546875" style="721" customWidth="1"/>
    <col min="7191" max="7191" width="12.7109375" style="721" customWidth="1"/>
    <col min="7192" max="7196" width="8.85546875" style="721" customWidth="1"/>
    <col min="7197" max="7424" width="14.42578125" style="721"/>
    <col min="7425" max="7425" width="58.42578125" style="721" customWidth="1"/>
    <col min="7426" max="7429" width="0" style="721" hidden="1" customWidth="1"/>
    <col min="7430" max="7430" width="12.140625" style="721" customWidth="1"/>
    <col min="7431" max="7444" width="0" style="721" hidden="1" customWidth="1"/>
    <col min="7445" max="7445" width="9.85546875" style="721" customWidth="1"/>
    <col min="7446" max="7446" width="12.85546875" style="721" customWidth="1"/>
    <col min="7447" max="7447" width="12.7109375" style="721" customWidth="1"/>
    <col min="7448" max="7452" width="8.85546875" style="721" customWidth="1"/>
    <col min="7453" max="7680" width="14.42578125" style="721"/>
    <col min="7681" max="7681" width="58.42578125" style="721" customWidth="1"/>
    <col min="7682" max="7685" width="0" style="721" hidden="1" customWidth="1"/>
    <col min="7686" max="7686" width="12.140625" style="721" customWidth="1"/>
    <col min="7687" max="7700" width="0" style="721" hidden="1" customWidth="1"/>
    <col min="7701" max="7701" width="9.85546875" style="721" customWidth="1"/>
    <col min="7702" max="7702" width="12.85546875" style="721" customWidth="1"/>
    <col min="7703" max="7703" width="12.7109375" style="721" customWidth="1"/>
    <col min="7704" max="7708" width="8.85546875" style="721" customWidth="1"/>
    <col min="7709" max="7936" width="14.42578125" style="721"/>
    <col min="7937" max="7937" width="58.42578125" style="721" customWidth="1"/>
    <col min="7938" max="7941" width="0" style="721" hidden="1" customWidth="1"/>
    <col min="7942" max="7942" width="12.140625" style="721" customWidth="1"/>
    <col min="7943" max="7956" width="0" style="721" hidden="1" customWidth="1"/>
    <col min="7957" max="7957" width="9.85546875" style="721" customWidth="1"/>
    <col min="7958" max="7958" width="12.85546875" style="721" customWidth="1"/>
    <col min="7959" max="7959" width="12.7109375" style="721" customWidth="1"/>
    <col min="7960" max="7964" width="8.85546875" style="721" customWidth="1"/>
    <col min="7965" max="8192" width="14.42578125" style="721"/>
    <col min="8193" max="8193" width="58.42578125" style="721" customWidth="1"/>
    <col min="8194" max="8197" width="0" style="721" hidden="1" customWidth="1"/>
    <col min="8198" max="8198" width="12.140625" style="721" customWidth="1"/>
    <col min="8199" max="8212" width="0" style="721" hidden="1" customWidth="1"/>
    <col min="8213" max="8213" width="9.85546875" style="721" customWidth="1"/>
    <col min="8214" max="8214" width="12.85546875" style="721" customWidth="1"/>
    <col min="8215" max="8215" width="12.7109375" style="721" customWidth="1"/>
    <col min="8216" max="8220" width="8.85546875" style="721" customWidth="1"/>
    <col min="8221" max="8448" width="14.42578125" style="721"/>
    <col min="8449" max="8449" width="58.42578125" style="721" customWidth="1"/>
    <col min="8450" max="8453" width="0" style="721" hidden="1" customWidth="1"/>
    <col min="8454" max="8454" width="12.140625" style="721" customWidth="1"/>
    <col min="8455" max="8468" width="0" style="721" hidden="1" customWidth="1"/>
    <col min="8469" max="8469" width="9.85546875" style="721" customWidth="1"/>
    <col min="8470" max="8470" width="12.85546875" style="721" customWidth="1"/>
    <col min="8471" max="8471" width="12.7109375" style="721" customWidth="1"/>
    <col min="8472" max="8476" width="8.85546875" style="721" customWidth="1"/>
    <col min="8477" max="8704" width="14.42578125" style="721"/>
    <col min="8705" max="8705" width="58.42578125" style="721" customWidth="1"/>
    <col min="8706" max="8709" width="0" style="721" hidden="1" customWidth="1"/>
    <col min="8710" max="8710" width="12.140625" style="721" customWidth="1"/>
    <col min="8711" max="8724" width="0" style="721" hidden="1" customWidth="1"/>
    <col min="8725" max="8725" width="9.85546875" style="721" customWidth="1"/>
    <col min="8726" max="8726" width="12.85546875" style="721" customWidth="1"/>
    <col min="8727" max="8727" width="12.7109375" style="721" customWidth="1"/>
    <col min="8728" max="8732" width="8.85546875" style="721" customWidth="1"/>
    <col min="8733" max="8960" width="14.42578125" style="721"/>
    <col min="8961" max="8961" width="58.42578125" style="721" customWidth="1"/>
    <col min="8962" max="8965" width="0" style="721" hidden="1" customWidth="1"/>
    <col min="8966" max="8966" width="12.140625" style="721" customWidth="1"/>
    <col min="8967" max="8980" width="0" style="721" hidden="1" customWidth="1"/>
    <col min="8981" max="8981" width="9.85546875" style="721" customWidth="1"/>
    <col min="8982" max="8982" width="12.85546875" style="721" customWidth="1"/>
    <col min="8983" max="8983" width="12.7109375" style="721" customWidth="1"/>
    <col min="8984" max="8988" width="8.85546875" style="721" customWidth="1"/>
    <col min="8989" max="9216" width="14.42578125" style="721"/>
    <col min="9217" max="9217" width="58.42578125" style="721" customWidth="1"/>
    <col min="9218" max="9221" width="0" style="721" hidden="1" customWidth="1"/>
    <col min="9222" max="9222" width="12.140625" style="721" customWidth="1"/>
    <col min="9223" max="9236" width="0" style="721" hidden="1" customWidth="1"/>
    <col min="9237" max="9237" width="9.85546875" style="721" customWidth="1"/>
    <col min="9238" max="9238" width="12.85546875" style="721" customWidth="1"/>
    <col min="9239" max="9239" width="12.7109375" style="721" customWidth="1"/>
    <col min="9240" max="9244" width="8.85546875" style="721" customWidth="1"/>
    <col min="9245" max="9472" width="14.42578125" style="721"/>
    <col min="9473" max="9473" width="58.42578125" style="721" customWidth="1"/>
    <col min="9474" max="9477" width="0" style="721" hidden="1" customWidth="1"/>
    <col min="9478" max="9478" width="12.140625" style="721" customWidth="1"/>
    <col min="9479" max="9492" width="0" style="721" hidden="1" customWidth="1"/>
    <col min="9493" max="9493" width="9.85546875" style="721" customWidth="1"/>
    <col min="9494" max="9494" width="12.85546875" style="721" customWidth="1"/>
    <col min="9495" max="9495" width="12.7109375" style="721" customWidth="1"/>
    <col min="9496" max="9500" width="8.85546875" style="721" customWidth="1"/>
    <col min="9501" max="9728" width="14.42578125" style="721"/>
    <col min="9729" max="9729" width="58.42578125" style="721" customWidth="1"/>
    <col min="9730" max="9733" width="0" style="721" hidden="1" customWidth="1"/>
    <col min="9734" max="9734" width="12.140625" style="721" customWidth="1"/>
    <col min="9735" max="9748" width="0" style="721" hidden="1" customWidth="1"/>
    <col min="9749" max="9749" width="9.85546875" style="721" customWidth="1"/>
    <col min="9750" max="9750" width="12.85546875" style="721" customWidth="1"/>
    <col min="9751" max="9751" width="12.7109375" style="721" customWidth="1"/>
    <col min="9752" max="9756" width="8.85546875" style="721" customWidth="1"/>
    <col min="9757" max="9984" width="14.42578125" style="721"/>
    <col min="9985" max="9985" width="58.42578125" style="721" customWidth="1"/>
    <col min="9986" max="9989" width="0" style="721" hidden="1" customWidth="1"/>
    <col min="9990" max="9990" width="12.140625" style="721" customWidth="1"/>
    <col min="9991" max="10004" width="0" style="721" hidden="1" customWidth="1"/>
    <col min="10005" max="10005" width="9.85546875" style="721" customWidth="1"/>
    <col min="10006" max="10006" width="12.85546875" style="721" customWidth="1"/>
    <col min="10007" max="10007" width="12.7109375" style="721" customWidth="1"/>
    <col min="10008" max="10012" width="8.85546875" style="721" customWidth="1"/>
    <col min="10013" max="10240" width="14.42578125" style="721"/>
    <col min="10241" max="10241" width="58.42578125" style="721" customWidth="1"/>
    <col min="10242" max="10245" width="0" style="721" hidden="1" customWidth="1"/>
    <col min="10246" max="10246" width="12.140625" style="721" customWidth="1"/>
    <col min="10247" max="10260" width="0" style="721" hidden="1" customWidth="1"/>
    <col min="10261" max="10261" width="9.85546875" style="721" customWidth="1"/>
    <col min="10262" max="10262" width="12.85546875" style="721" customWidth="1"/>
    <col min="10263" max="10263" width="12.7109375" style="721" customWidth="1"/>
    <col min="10264" max="10268" width="8.85546875" style="721" customWidth="1"/>
    <col min="10269" max="10496" width="14.42578125" style="721"/>
    <col min="10497" max="10497" width="58.42578125" style="721" customWidth="1"/>
    <col min="10498" max="10501" width="0" style="721" hidden="1" customWidth="1"/>
    <col min="10502" max="10502" width="12.140625" style="721" customWidth="1"/>
    <col min="10503" max="10516" width="0" style="721" hidden="1" customWidth="1"/>
    <col min="10517" max="10517" width="9.85546875" style="721" customWidth="1"/>
    <col min="10518" max="10518" width="12.85546875" style="721" customWidth="1"/>
    <col min="10519" max="10519" width="12.7109375" style="721" customWidth="1"/>
    <col min="10520" max="10524" width="8.85546875" style="721" customWidth="1"/>
    <col min="10525" max="10752" width="14.42578125" style="721"/>
    <col min="10753" max="10753" width="58.42578125" style="721" customWidth="1"/>
    <col min="10754" max="10757" width="0" style="721" hidden="1" customWidth="1"/>
    <col min="10758" max="10758" width="12.140625" style="721" customWidth="1"/>
    <col min="10759" max="10772" width="0" style="721" hidden="1" customWidth="1"/>
    <col min="10773" max="10773" width="9.85546875" style="721" customWidth="1"/>
    <col min="10774" max="10774" width="12.85546875" style="721" customWidth="1"/>
    <col min="10775" max="10775" width="12.7109375" style="721" customWidth="1"/>
    <col min="10776" max="10780" width="8.85546875" style="721" customWidth="1"/>
    <col min="10781" max="11008" width="14.42578125" style="721"/>
    <col min="11009" max="11009" width="58.42578125" style="721" customWidth="1"/>
    <col min="11010" max="11013" width="0" style="721" hidden="1" customWidth="1"/>
    <col min="11014" max="11014" width="12.140625" style="721" customWidth="1"/>
    <col min="11015" max="11028" width="0" style="721" hidden="1" customWidth="1"/>
    <col min="11029" max="11029" width="9.85546875" style="721" customWidth="1"/>
    <col min="11030" max="11030" width="12.85546875" style="721" customWidth="1"/>
    <col min="11031" max="11031" width="12.7109375" style="721" customWidth="1"/>
    <col min="11032" max="11036" width="8.85546875" style="721" customWidth="1"/>
    <col min="11037" max="11264" width="14.42578125" style="721"/>
    <col min="11265" max="11265" width="58.42578125" style="721" customWidth="1"/>
    <col min="11266" max="11269" width="0" style="721" hidden="1" customWidth="1"/>
    <col min="11270" max="11270" width="12.140625" style="721" customWidth="1"/>
    <col min="11271" max="11284" width="0" style="721" hidden="1" customWidth="1"/>
    <col min="11285" max="11285" width="9.85546875" style="721" customWidth="1"/>
    <col min="11286" max="11286" width="12.85546875" style="721" customWidth="1"/>
    <col min="11287" max="11287" width="12.7109375" style="721" customWidth="1"/>
    <col min="11288" max="11292" width="8.85546875" style="721" customWidth="1"/>
    <col min="11293" max="11520" width="14.42578125" style="721"/>
    <col min="11521" max="11521" width="58.42578125" style="721" customWidth="1"/>
    <col min="11522" max="11525" width="0" style="721" hidden="1" customWidth="1"/>
    <col min="11526" max="11526" width="12.140625" style="721" customWidth="1"/>
    <col min="11527" max="11540" width="0" style="721" hidden="1" customWidth="1"/>
    <col min="11541" max="11541" width="9.85546875" style="721" customWidth="1"/>
    <col min="11542" max="11542" width="12.85546875" style="721" customWidth="1"/>
    <col min="11543" max="11543" width="12.7109375" style="721" customWidth="1"/>
    <col min="11544" max="11548" width="8.85546875" style="721" customWidth="1"/>
    <col min="11549" max="11776" width="14.42578125" style="721"/>
    <col min="11777" max="11777" width="58.42578125" style="721" customWidth="1"/>
    <col min="11778" max="11781" width="0" style="721" hidden="1" customWidth="1"/>
    <col min="11782" max="11782" width="12.140625" style="721" customWidth="1"/>
    <col min="11783" max="11796" width="0" style="721" hidden="1" customWidth="1"/>
    <col min="11797" max="11797" width="9.85546875" style="721" customWidth="1"/>
    <col min="11798" max="11798" width="12.85546875" style="721" customWidth="1"/>
    <col min="11799" max="11799" width="12.7109375" style="721" customWidth="1"/>
    <col min="11800" max="11804" width="8.85546875" style="721" customWidth="1"/>
    <col min="11805" max="12032" width="14.42578125" style="721"/>
    <col min="12033" max="12033" width="58.42578125" style="721" customWidth="1"/>
    <col min="12034" max="12037" width="0" style="721" hidden="1" customWidth="1"/>
    <col min="12038" max="12038" width="12.140625" style="721" customWidth="1"/>
    <col min="12039" max="12052" width="0" style="721" hidden="1" customWidth="1"/>
    <col min="12053" max="12053" width="9.85546875" style="721" customWidth="1"/>
    <col min="12054" max="12054" width="12.85546875" style="721" customWidth="1"/>
    <col min="12055" max="12055" width="12.7109375" style="721" customWidth="1"/>
    <col min="12056" max="12060" width="8.85546875" style="721" customWidth="1"/>
    <col min="12061" max="12288" width="14.42578125" style="721"/>
    <col min="12289" max="12289" width="58.42578125" style="721" customWidth="1"/>
    <col min="12290" max="12293" width="0" style="721" hidden="1" customWidth="1"/>
    <col min="12294" max="12294" width="12.140625" style="721" customWidth="1"/>
    <col min="12295" max="12308" width="0" style="721" hidden="1" customWidth="1"/>
    <col min="12309" max="12309" width="9.85546875" style="721" customWidth="1"/>
    <col min="12310" max="12310" width="12.85546875" style="721" customWidth="1"/>
    <col min="12311" max="12311" width="12.7109375" style="721" customWidth="1"/>
    <col min="12312" max="12316" width="8.85546875" style="721" customWidth="1"/>
    <col min="12317" max="12544" width="14.42578125" style="721"/>
    <col min="12545" max="12545" width="58.42578125" style="721" customWidth="1"/>
    <col min="12546" max="12549" width="0" style="721" hidden="1" customWidth="1"/>
    <col min="12550" max="12550" width="12.140625" style="721" customWidth="1"/>
    <col min="12551" max="12564" width="0" style="721" hidden="1" customWidth="1"/>
    <col min="12565" max="12565" width="9.85546875" style="721" customWidth="1"/>
    <col min="12566" max="12566" width="12.85546875" style="721" customWidth="1"/>
    <col min="12567" max="12567" width="12.7109375" style="721" customWidth="1"/>
    <col min="12568" max="12572" width="8.85546875" style="721" customWidth="1"/>
    <col min="12573" max="12800" width="14.42578125" style="721"/>
    <col min="12801" max="12801" width="58.42578125" style="721" customWidth="1"/>
    <col min="12802" max="12805" width="0" style="721" hidden="1" customWidth="1"/>
    <col min="12806" max="12806" width="12.140625" style="721" customWidth="1"/>
    <col min="12807" max="12820" width="0" style="721" hidden="1" customWidth="1"/>
    <col min="12821" max="12821" width="9.85546875" style="721" customWidth="1"/>
    <col min="12822" max="12822" width="12.85546875" style="721" customWidth="1"/>
    <col min="12823" max="12823" width="12.7109375" style="721" customWidth="1"/>
    <col min="12824" max="12828" width="8.85546875" style="721" customWidth="1"/>
    <col min="12829" max="13056" width="14.42578125" style="721"/>
    <col min="13057" max="13057" width="58.42578125" style="721" customWidth="1"/>
    <col min="13058" max="13061" width="0" style="721" hidden="1" customWidth="1"/>
    <col min="13062" max="13062" width="12.140625" style="721" customWidth="1"/>
    <col min="13063" max="13076" width="0" style="721" hidden="1" customWidth="1"/>
    <col min="13077" max="13077" width="9.85546875" style="721" customWidth="1"/>
    <col min="13078" max="13078" width="12.85546875" style="721" customWidth="1"/>
    <col min="13079" max="13079" width="12.7109375" style="721" customWidth="1"/>
    <col min="13080" max="13084" width="8.85546875" style="721" customWidth="1"/>
    <col min="13085" max="13312" width="14.42578125" style="721"/>
    <col min="13313" max="13313" width="58.42578125" style="721" customWidth="1"/>
    <col min="13314" max="13317" width="0" style="721" hidden="1" customWidth="1"/>
    <col min="13318" max="13318" width="12.140625" style="721" customWidth="1"/>
    <col min="13319" max="13332" width="0" style="721" hidden="1" customWidth="1"/>
    <col min="13333" max="13333" width="9.85546875" style="721" customWidth="1"/>
    <col min="13334" max="13334" width="12.85546875" style="721" customWidth="1"/>
    <col min="13335" max="13335" width="12.7109375" style="721" customWidth="1"/>
    <col min="13336" max="13340" width="8.85546875" style="721" customWidth="1"/>
    <col min="13341" max="13568" width="14.42578125" style="721"/>
    <col min="13569" max="13569" width="58.42578125" style="721" customWidth="1"/>
    <col min="13570" max="13573" width="0" style="721" hidden="1" customWidth="1"/>
    <col min="13574" max="13574" width="12.140625" style="721" customWidth="1"/>
    <col min="13575" max="13588" width="0" style="721" hidden="1" customWidth="1"/>
    <col min="13589" max="13589" width="9.85546875" style="721" customWidth="1"/>
    <col min="13590" max="13590" width="12.85546875" style="721" customWidth="1"/>
    <col min="13591" max="13591" width="12.7109375" style="721" customWidth="1"/>
    <col min="13592" max="13596" width="8.85546875" style="721" customWidth="1"/>
    <col min="13597" max="13824" width="14.42578125" style="721"/>
    <col min="13825" max="13825" width="58.42578125" style="721" customWidth="1"/>
    <col min="13826" max="13829" width="0" style="721" hidden="1" customWidth="1"/>
    <col min="13830" max="13830" width="12.140625" style="721" customWidth="1"/>
    <col min="13831" max="13844" width="0" style="721" hidden="1" customWidth="1"/>
    <col min="13845" max="13845" width="9.85546875" style="721" customWidth="1"/>
    <col min="13846" max="13846" width="12.85546875" style="721" customWidth="1"/>
    <col min="13847" max="13847" width="12.7109375" style="721" customWidth="1"/>
    <col min="13848" max="13852" width="8.85546875" style="721" customWidth="1"/>
    <col min="13853" max="14080" width="14.42578125" style="721"/>
    <col min="14081" max="14081" width="58.42578125" style="721" customWidth="1"/>
    <col min="14082" max="14085" width="0" style="721" hidden="1" customWidth="1"/>
    <col min="14086" max="14086" width="12.140625" style="721" customWidth="1"/>
    <col min="14087" max="14100" width="0" style="721" hidden="1" customWidth="1"/>
    <col min="14101" max="14101" width="9.85546875" style="721" customWidth="1"/>
    <col min="14102" max="14102" width="12.85546875" style="721" customWidth="1"/>
    <col min="14103" max="14103" width="12.7109375" style="721" customWidth="1"/>
    <col min="14104" max="14108" width="8.85546875" style="721" customWidth="1"/>
    <col min="14109" max="14336" width="14.42578125" style="721"/>
    <col min="14337" max="14337" width="58.42578125" style="721" customWidth="1"/>
    <col min="14338" max="14341" width="0" style="721" hidden="1" customWidth="1"/>
    <col min="14342" max="14342" width="12.140625" style="721" customWidth="1"/>
    <col min="14343" max="14356" width="0" style="721" hidden="1" customWidth="1"/>
    <col min="14357" max="14357" width="9.85546875" style="721" customWidth="1"/>
    <col min="14358" max="14358" width="12.85546875" style="721" customWidth="1"/>
    <col min="14359" max="14359" width="12.7109375" style="721" customWidth="1"/>
    <col min="14360" max="14364" width="8.85546875" style="721" customWidth="1"/>
    <col min="14365" max="14592" width="14.42578125" style="721"/>
    <col min="14593" max="14593" width="58.42578125" style="721" customWidth="1"/>
    <col min="14594" max="14597" width="0" style="721" hidden="1" customWidth="1"/>
    <col min="14598" max="14598" width="12.140625" style="721" customWidth="1"/>
    <col min="14599" max="14612" width="0" style="721" hidden="1" customWidth="1"/>
    <col min="14613" max="14613" width="9.85546875" style="721" customWidth="1"/>
    <col min="14614" max="14614" width="12.85546875" style="721" customWidth="1"/>
    <col min="14615" max="14615" width="12.7109375" style="721" customWidth="1"/>
    <col min="14616" max="14620" width="8.85546875" style="721" customWidth="1"/>
    <col min="14621" max="14848" width="14.42578125" style="721"/>
    <col min="14849" max="14849" width="58.42578125" style="721" customWidth="1"/>
    <col min="14850" max="14853" width="0" style="721" hidden="1" customWidth="1"/>
    <col min="14854" max="14854" width="12.140625" style="721" customWidth="1"/>
    <col min="14855" max="14868" width="0" style="721" hidden="1" customWidth="1"/>
    <col min="14869" max="14869" width="9.85546875" style="721" customWidth="1"/>
    <col min="14870" max="14870" width="12.85546875" style="721" customWidth="1"/>
    <col min="14871" max="14871" width="12.7109375" style="721" customWidth="1"/>
    <col min="14872" max="14876" width="8.85546875" style="721" customWidth="1"/>
    <col min="14877" max="15104" width="14.42578125" style="721"/>
    <col min="15105" max="15105" width="58.42578125" style="721" customWidth="1"/>
    <col min="15106" max="15109" width="0" style="721" hidden="1" customWidth="1"/>
    <col min="15110" max="15110" width="12.140625" style="721" customWidth="1"/>
    <col min="15111" max="15124" width="0" style="721" hidden="1" customWidth="1"/>
    <col min="15125" max="15125" width="9.85546875" style="721" customWidth="1"/>
    <col min="15126" max="15126" width="12.85546875" style="721" customWidth="1"/>
    <col min="15127" max="15127" width="12.7109375" style="721" customWidth="1"/>
    <col min="15128" max="15132" width="8.85546875" style="721" customWidth="1"/>
    <col min="15133" max="15360" width="14.42578125" style="721"/>
    <col min="15361" max="15361" width="58.42578125" style="721" customWidth="1"/>
    <col min="15362" max="15365" width="0" style="721" hidden="1" customWidth="1"/>
    <col min="15366" max="15366" width="12.140625" style="721" customWidth="1"/>
    <col min="15367" max="15380" width="0" style="721" hidden="1" customWidth="1"/>
    <col min="15381" max="15381" width="9.85546875" style="721" customWidth="1"/>
    <col min="15382" max="15382" width="12.85546875" style="721" customWidth="1"/>
    <col min="15383" max="15383" width="12.7109375" style="721" customWidth="1"/>
    <col min="15384" max="15388" width="8.85546875" style="721" customWidth="1"/>
    <col min="15389" max="15616" width="14.42578125" style="721"/>
    <col min="15617" max="15617" width="58.42578125" style="721" customWidth="1"/>
    <col min="15618" max="15621" width="0" style="721" hidden="1" customWidth="1"/>
    <col min="15622" max="15622" width="12.140625" style="721" customWidth="1"/>
    <col min="15623" max="15636" width="0" style="721" hidden="1" customWidth="1"/>
    <col min="15637" max="15637" width="9.85546875" style="721" customWidth="1"/>
    <col min="15638" max="15638" width="12.85546875" style="721" customWidth="1"/>
    <col min="15639" max="15639" width="12.7109375" style="721" customWidth="1"/>
    <col min="15640" max="15644" width="8.85546875" style="721" customWidth="1"/>
    <col min="15645" max="15872" width="14.42578125" style="721"/>
    <col min="15873" max="15873" width="58.42578125" style="721" customWidth="1"/>
    <col min="15874" max="15877" width="0" style="721" hidden="1" customWidth="1"/>
    <col min="15878" max="15878" width="12.140625" style="721" customWidth="1"/>
    <col min="15879" max="15892" width="0" style="721" hidden="1" customWidth="1"/>
    <col min="15893" max="15893" width="9.85546875" style="721" customWidth="1"/>
    <col min="15894" max="15894" width="12.85546875" style="721" customWidth="1"/>
    <col min="15895" max="15895" width="12.7109375" style="721" customWidth="1"/>
    <col min="15896" max="15900" width="8.85546875" style="721" customWidth="1"/>
    <col min="15901" max="16128" width="14.42578125" style="721"/>
    <col min="16129" max="16129" width="58.42578125" style="721" customWidth="1"/>
    <col min="16130" max="16133" width="0" style="721" hidden="1" customWidth="1"/>
    <col min="16134" max="16134" width="12.140625" style="721" customWidth="1"/>
    <col min="16135" max="16148" width="0" style="721" hidden="1" customWidth="1"/>
    <col min="16149" max="16149" width="9.85546875" style="721" customWidth="1"/>
    <col min="16150" max="16150" width="12.85546875" style="721" customWidth="1"/>
    <col min="16151" max="16151" width="12.7109375" style="721" customWidth="1"/>
    <col min="16152" max="16156" width="8.85546875" style="721" customWidth="1"/>
    <col min="16157" max="16384" width="14.42578125" style="721"/>
  </cols>
  <sheetData>
    <row r="1" spans="1:28" ht="52.15" customHeight="1">
      <c r="A1" s="715" t="s">
        <v>1310</v>
      </c>
      <c r="B1" s="1000" t="s">
        <v>726</v>
      </c>
      <c r="C1" s="1001"/>
      <c r="D1" s="1001"/>
      <c r="E1" s="1001"/>
      <c r="F1" s="1002"/>
      <c r="G1" s="1001"/>
      <c r="H1" s="1001"/>
      <c r="I1" s="1001"/>
      <c r="J1" s="716" t="s">
        <v>727</v>
      </c>
      <c r="K1" s="717" t="s">
        <v>728</v>
      </c>
      <c r="L1" s="718" t="s">
        <v>729</v>
      </c>
      <c r="M1" s="718"/>
      <c r="N1" s="718"/>
      <c r="O1" s="718"/>
      <c r="P1" s="1003" t="s">
        <v>730</v>
      </c>
      <c r="Q1" s="1004"/>
      <c r="R1" s="1004"/>
      <c r="S1" s="1005"/>
      <c r="T1" s="719"/>
      <c r="U1" s="1003" t="s">
        <v>1311</v>
      </c>
      <c r="V1" s="1004"/>
      <c r="W1" s="1005"/>
      <c r="X1" s="720"/>
      <c r="Y1" s="720"/>
      <c r="Z1" s="720"/>
      <c r="AA1" s="720"/>
      <c r="AB1" s="720"/>
    </row>
    <row r="2" spans="1:28" ht="48" customHeight="1" thickBot="1">
      <c r="A2" s="722" t="s">
        <v>732</v>
      </c>
      <c r="B2" s="722" t="s">
        <v>1296</v>
      </c>
      <c r="C2" s="723" t="s">
        <v>733</v>
      </c>
      <c r="D2" s="722" t="s">
        <v>734</v>
      </c>
      <c r="E2" s="722" t="s">
        <v>1297</v>
      </c>
      <c r="F2" s="723" t="s">
        <v>1312</v>
      </c>
      <c r="G2" s="724" t="s">
        <v>733</v>
      </c>
      <c r="H2" s="722" t="s">
        <v>734</v>
      </c>
      <c r="I2" s="722" t="s">
        <v>736</v>
      </c>
      <c r="J2" s="719"/>
      <c r="K2" s="725"/>
      <c r="L2" s="719"/>
      <c r="M2" s="719"/>
      <c r="N2" s="719"/>
      <c r="O2" s="719"/>
      <c r="P2" s="726" t="s">
        <v>737</v>
      </c>
      <c r="Q2" s="726" t="s">
        <v>738</v>
      </c>
      <c r="R2" s="726" t="s">
        <v>739</v>
      </c>
      <c r="S2" s="727" t="s">
        <v>740</v>
      </c>
      <c r="T2" s="727" t="s">
        <v>741</v>
      </c>
      <c r="U2" s="724" t="s">
        <v>1313</v>
      </c>
      <c r="V2" s="722" t="s">
        <v>1314</v>
      </c>
      <c r="W2" s="722" t="s">
        <v>1315</v>
      </c>
      <c r="X2" s="720"/>
      <c r="Y2" s="720"/>
      <c r="Z2" s="720"/>
      <c r="AA2" s="720"/>
      <c r="AB2" s="720"/>
    </row>
    <row r="3" spans="1:28" ht="15" customHeight="1" thickBot="1">
      <c r="A3" s="909" t="s">
        <v>1316</v>
      </c>
      <c r="B3" s="729"/>
      <c r="C3" s="730"/>
      <c r="D3" s="731"/>
      <c r="E3" s="731"/>
      <c r="F3" s="731"/>
      <c r="G3" s="731"/>
      <c r="H3" s="731"/>
      <c r="I3" s="731"/>
      <c r="J3" s="731"/>
      <c r="K3" s="731"/>
      <c r="L3" s="731"/>
      <c r="M3" s="731"/>
      <c r="N3" s="731"/>
      <c r="O3" s="731"/>
      <c r="P3" s="731"/>
      <c r="Q3" s="731"/>
      <c r="R3" s="731"/>
      <c r="S3" s="731"/>
      <c r="T3" s="731"/>
      <c r="U3" s="731"/>
      <c r="V3" s="731"/>
      <c r="W3" s="731"/>
      <c r="X3" s="720"/>
      <c r="Y3" s="720"/>
      <c r="Z3" s="720"/>
      <c r="AA3" s="720"/>
      <c r="AB3" s="720"/>
    </row>
    <row r="4" spans="1:28" ht="30" customHeight="1" thickBot="1">
      <c r="A4" s="910" t="s">
        <v>1317</v>
      </c>
      <c r="B4" s="733"/>
      <c r="C4" s="734"/>
      <c r="D4" s="735"/>
      <c r="E4" s="735"/>
      <c r="F4" s="736"/>
      <c r="G4" s="735"/>
      <c r="H4" s="735"/>
      <c r="I4" s="737"/>
      <c r="J4" s="719"/>
      <c r="K4" s="725"/>
      <c r="L4" s="719"/>
      <c r="M4" s="719"/>
      <c r="N4" s="719"/>
      <c r="O4" s="719"/>
      <c r="P4" s="719"/>
      <c r="Q4" s="719"/>
      <c r="R4" s="719"/>
      <c r="S4" s="719"/>
      <c r="T4" s="719"/>
      <c r="U4" s="719"/>
      <c r="V4" s="738"/>
      <c r="W4" s="738"/>
      <c r="X4" s="720"/>
      <c r="Y4" s="720"/>
      <c r="Z4" s="720"/>
      <c r="AA4" s="720"/>
      <c r="AB4" s="720"/>
    </row>
    <row r="5" spans="1:28" ht="28.5" customHeight="1" thickBot="1">
      <c r="A5" s="911" t="s">
        <v>1318</v>
      </c>
      <c r="B5" s="740"/>
      <c r="C5" s="741"/>
      <c r="D5" s="742"/>
      <c r="E5" s="742">
        <f>SUM(E6:E12)</f>
        <v>378415.38014131843</v>
      </c>
      <c r="F5" s="742"/>
      <c r="G5" s="742"/>
      <c r="H5" s="742"/>
      <c r="I5" s="742">
        <f>SUM(I6:I12)</f>
        <v>102894.1309138489</v>
      </c>
      <c r="J5" s="742">
        <f t="shared" ref="J5:W5" si="0">SUM(J6:J12)</f>
        <v>0</v>
      </c>
      <c r="K5" s="742">
        <f t="shared" si="0"/>
        <v>8882.7495962398352</v>
      </c>
      <c r="L5" s="742">
        <f t="shared" si="0"/>
        <v>12337.9707</v>
      </c>
      <c r="M5" s="742">
        <f t="shared" si="0"/>
        <v>0</v>
      </c>
      <c r="N5" s="742">
        <f t="shared" si="0"/>
        <v>655.95699999999999</v>
      </c>
      <c r="O5" s="742">
        <f t="shared" si="0"/>
        <v>0</v>
      </c>
      <c r="P5" s="742">
        <f t="shared" si="0"/>
        <v>0</v>
      </c>
      <c r="Q5" s="742">
        <f t="shared" si="0"/>
        <v>28473.34810056147</v>
      </c>
      <c r="R5" s="742">
        <f t="shared" si="0"/>
        <v>24125.220098268637</v>
      </c>
      <c r="S5" s="742">
        <f t="shared" si="0"/>
        <v>52598.568198830108</v>
      </c>
      <c r="T5" s="742">
        <f t="shared" si="0"/>
        <v>0</v>
      </c>
      <c r="U5" s="742">
        <f t="shared" si="0"/>
        <v>76</v>
      </c>
      <c r="V5" s="742">
        <f t="shared" si="0"/>
        <v>8882.7495962398352</v>
      </c>
      <c r="W5" s="742">
        <f t="shared" si="0"/>
        <v>99864.958943262027</v>
      </c>
      <c r="X5" s="720"/>
      <c r="Y5" s="720"/>
      <c r="Z5" s="720"/>
      <c r="AA5" s="720"/>
      <c r="AB5" s="720"/>
    </row>
    <row r="6" spans="1:28" ht="28.9" customHeight="1" thickBot="1">
      <c r="A6" s="912" t="s">
        <v>1319</v>
      </c>
      <c r="B6" s="733" t="s">
        <v>745</v>
      </c>
      <c r="C6" s="744">
        <f>4*12</f>
        <v>48</v>
      </c>
      <c r="D6" s="735">
        <f t="shared" ref="D6:D12" si="1">K6</f>
        <v>988.91383205502302</v>
      </c>
      <c r="E6" s="735">
        <f>C6*D6</f>
        <v>47467.863938641109</v>
      </c>
      <c r="F6" s="745" t="s">
        <v>1436</v>
      </c>
      <c r="G6" s="735">
        <f>C6/4</f>
        <v>12</v>
      </c>
      <c r="H6" s="735">
        <f t="shared" ref="H6:H12" si="2">D6</f>
        <v>988.91383205502302</v>
      </c>
      <c r="I6" s="735">
        <f>G6*H6</f>
        <v>11866.965984660277</v>
      </c>
      <c r="J6" s="719" t="s">
        <v>746</v>
      </c>
      <c r="K6" s="725">
        <f>((320558+15000)/[1]DG!$E$21+60000)/N6</f>
        <v>988.91383205502302</v>
      </c>
      <c r="L6" s="746" t="s">
        <v>747</v>
      </c>
      <c r="M6" s="719"/>
      <c r="N6" s="747">
        <f>655.957</f>
        <v>655.95699999999999</v>
      </c>
      <c r="O6" s="719"/>
      <c r="P6" s="748">
        <f>0</f>
        <v>0</v>
      </c>
      <c r="Q6" s="748">
        <f>('[2]Bank XOF'!G47+'[2]Bank XOF'!G53+'[2]Bank XOF'!G61+'[2]Bank XOF'!G86)/655.957</f>
        <v>3355.9029021719412</v>
      </c>
      <c r="R6" s="749">
        <f>'[2]Bank XOF'!G141/655.957+[2]Details!C25+'[2]Bank XOF'!G184/655.957+'[2]Bank XOF'!G229/655.957</f>
        <v>2966.7310509682802</v>
      </c>
      <c r="S6" s="749">
        <f t="shared" ref="S6:S11" si="3">P6+Q6+R6</f>
        <v>6322.6339531402209</v>
      </c>
      <c r="T6" s="719"/>
      <c r="U6" s="750">
        <f>12</f>
        <v>12</v>
      </c>
      <c r="V6" s="749">
        <f>H6</f>
        <v>988.91383205502302</v>
      </c>
      <c r="W6" s="749">
        <f>U6*V6</f>
        <v>11866.965984660277</v>
      </c>
      <c r="X6" s="720"/>
      <c r="Y6" s="720"/>
      <c r="Z6" s="720"/>
      <c r="AA6" s="720"/>
      <c r="AB6" s="720"/>
    </row>
    <row r="7" spans="1:28" ht="13.5" customHeight="1" thickBot="1">
      <c r="A7" s="912" t="s">
        <v>1320</v>
      </c>
      <c r="B7" s="733" t="s">
        <v>745</v>
      </c>
      <c r="C7" s="744">
        <f>C6+12</f>
        <v>60</v>
      </c>
      <c r="D7" s="735">
        <f t="shared" si="1"/>
        <v>1009.7239901956291</v>
      </c>
      <c r="E7" s="735">
        <f>C7*D7</f>
        <v>60583.439411737745</v>
      </c>
      <c r="F7" s="745" t="s">
        <v>1436</v>
      </c>
      <c r="G7" s="735">
        <f>C7/4</f>
        <v>15</v>
      </c>
      <c r="H7" s="735">
        <f t="shared" si="2"/>
        <v>1009.7239901956291</v>
      </c>
      <c r="I7" s="735">
        <f>G7*H7</f>
        <v>15145.859852934436</v>
      </c>
      <c r="J7" s="719" t="s">
        <v>748</v>
      </c>
      <c r="K7" s="725">
        <f>((343339)/[1]DG!$E$21+60000)/N6</f>
        <v>1009.7239901956291</v>
      </c>
      <c r="L7" s="719"/>
      <c r="M7" s="719"/>
      <c r="N7" s="719"/>
      <c r="O7" s="719"/>
      <c r="P7" s="748">
        <f>0</f>
        <v>0</v>
      </c>
      <c r="Q7" s="748">
        <f>('[2]Bank XOF'!G42+'[2]Bank XOF'!G48+'[2]Bank XOF'!G56+'[2]Bank XOF'!G81)/655.957</f>
        <v>3481.4965005328095</v>
      </c>
      <c r="R7" s="751">
        <f>'[2]Bank XOF'!G136/655.957+[2]Details!C26+'[2]Bank XOF'!G179/655.957+'[2]Bank XOF'!G224/655.957</f>
        <v>3029.1634969975166</v>
      </c>
      <c r="S7" s="751">
        <f t="shared" si="3"/>
        <v>6510.6599975303261</v>
      </c>
      <c r="T7" s="719"/>
      <c r="U7" s="719">
        <f>12</f>
        <v>12</v>
      </c>
      <c r="V7" s="751">
        <f t="shared" ref="V7:V12" si="4">H7</f>
        <v>1009.7239901956291</v>
      </c>
      <c r="W7" s="751">
        <f t="shared" ref="W7:W12" si="5">U7*V7</f>
        <v>12116.687882347549</v>
      </c>
      <c r="X7" s="720"/>
      <c r="Y7" s="720"/>
      <c r="Z7" s="720"/>
      <c r="AA7" s="720"/>
      <c r="AB7" s="720"/>
    </row>
    <row r="8" spans="1:28" ht="13.5" customHeight="1" thickBot="1">
      <c r="A8" s="912" t="s">
        <v>1321</v>
      </c>
      <c r="B8" s="733" t="s">
        <v>745</v>
      </c>
      <c r="C8" s="744">
        <f>12*4</f>
        <v>48</v>
      </c>
      <c r="D8" s="735">
        <f t="shared" si="1"/>
        <v>661.57039218617513</v>
      </c>
      <c r="E8" s="735">
        <f>C8*D8</f>
        <v>31755.378824936408</v>
      </c>
      <c r="F8" s="745" t="s">
        <v>1436</v>
      </c>
      <c r="G8" s="735">
        <v>12</v>
      </c>
      <c r="H8" s="735">
        <f t="shared" si="2"/>
        <v>661.57039218617513</v>
      </c>
      <c r="I8" s="735">
        <f>G8*H8</f>
        <v>7938.844706234102</v>
      </c>
      <c r="J8" s="719" t="s">
        <v>749</v>
      </c>
      <c r="K8" s="725">
        <f>((213163)/[1]DG!$E$21+60000)/N6</f>
        <v>661.57039218617513</v>
      </c>
      <c r="L8" s="719"/>
      <c r="M8" s="719"/>
      <c r="N8" s="719"/>
      <c r="O8" s="719"/>
      <c r="P8" s="748">
        <f>0</f>
        <v>0</v>
      </c>
      <c r="Q8" s="748">
        <f>('[2]Bank XOF'!G45+'[2]Bank XOF'!G51+'[2]Bank XOF'!G59+'[2]Bank XOF'!G84)/655.957</f>
        <v>2227.310631642013</v>
      </c>
      <c r="R8" s="751">
        <f>'[2]Bank XOF'!G139/655.957+[2]Details!C27+'[2]Bank XOF'!G182/655.957+'[2]Bank XOF'!G227/655.957</f>
        <v>1984.7093635710876</v>
      </c>
      <c r="S8" s="751">
        <f t="shared" si="3"/>
        <v>4212.0199952131006</v>
      </c>
      <c r="T8" s="719"/>
      <c r="U8" s="719">
        <f>12</f>
        <v>12</v>
      </c>
      <c r="V8" s="751">
        <f t="shared" si="4"/>
        <v>661.57039218617513</v>
      </c>
      <c r="W8" s="751">
        <f t="shared" si="5"/>
        <v>7938.844706234102</v>
      </c>
      <c r="X8" s="720"/>
      <c r="Y8" s="720"/>
      <c r="Z8" s="720"/>
      <c r="AA8" s="720"/>
      <c r="AB8" s="720"/>
    </row>
    <row r="9" spans="1:28" ht="13.5" customHeight="1" thickBot="1">
      <c r="A9" s="912" t="s">
        <v>1322</v>
      </c>
      <c r="B9" s="733" t="s">
        <v>750</v>
      </c>
      <c r="C9" s="744">
        <f>40</f>
        <v>40</v>
      </c>
      <c r="D9" s="735">
        <f t="shared" si="1"/>
        <v>2026.3089842768684</v>
      </c>
      <c r="E9" s="735">
        <f>D9*C9</f>
        <v>81052.359371074737</v>
      </c>
      <c r="F9" s="745" t="s">
        <v>1436</v>
      </c>
      <c r="G9" s="735">
        <f>12</f>
        <v>12</v>
      </c>
      <c r="H9" s="735">
        <f t="shared" si="2"/>
        <v>2026.3089842768684</v>
      </c>
      <c r="I9" s="735">
        <f>G9*H9</f>
        <v>24315.70781132242</v>
      </c>
      <c r="J9" s="719" t="s">
        <v>751</v>
      </c>
      <c r="K9" s="725">
        <f>((642744+75000)/[1]DG!$E$21+70000)/N6</f>
        <v>2026.3089842768684</v>
      </c>
      <c r="L9" s="719"/>
      <c r="M9" s="719"/>
      <c r="N9" s="719"/>
      <c r="O9" s="719"/>
      <c r="P9" s="748">
        <v>0</v>
      </c>
      <c r="Q9" s="748">
        <f>('[2]Bank XOF'!G46+'[2]Bank XOF'!G52+'[2]Bank XOF'!G60+'[2]Bank XOF'!G85)/655.957</f>
        <v>7399.3996557701194</v>
      </c>
      <c r="R9" s="751">
        <f>'[2]Bank XOF'!G140/655.957+[2]Details!C28+'[2]Bank XOF'!G183/655.957+'[2]Bank XOF'!G228/655.957</f>
        <v>6078.9289541844973</v>
      </c>
      <c r="S9" s="751">
        <f t="shared" si="3"/>
        <v>13478.328609954617</v>
      </c>
      <c r="T9" s="719"/>
      <c r="U9" s="719">
        <f>12</f>
        <v>12</v>
      </c>
      <c r="V9" s="751">
        <f t="shared" si="4"/>
        <v>2026.3089842768684</v>
      </c>
      <c r="W9" s="751">
        <f t="shared" si="5"/>
        <v>24315.70781132242</v>
      </c>
      <c r="X9" s="720"/>
      <c r="Y9" s="720"/>
      <c r="Z9" s="720"/>
      <c r="AA9" s="720"/>
      <c r="AB9" s="720"/>
    </row>
    <row r="10" spans="1:28" ht="13.5" customHeight="1" thickBot="1">
      <c r="A10" s="912" t="s">
        <v>1323</v>
      </c>
      <c r="B10" s="733" t="s">
        <v>745</v>
      </c>
      <c r="C10" s="744">
        <f>40</f>
        <v>40</v>
      </c>
      <c r="D10" s="735">
        <f t="shared" si="1"/>
        <v>1698.331691756777</v>
      </c>
      <c r="E10" s="735">
        <f>D10*C10</f>
        <v>67933.267670271074</v>
      </c>
      <c r="F10" s="745" t="s">
        <v>1436</v>
      </c>
      <c r="G10" s="735">
        <f>12</f>
        <v>12</v>
      </c>
      <c r="H10" s="735">
        <f t="shared" si="2"/>
        <v>1698.331691756777</v>
      </c>
      <c r="I10" s="735">
        <f>H10*G10</f>
        <v>20379.980301081323</v>
      </c>
      <c r="J10" s="719" t="s">
        <v>752</v>
      </c>
      <c r="K10" s="725">
        <f>((545112+50000)/[1]DG!$E$21+70000)/N6</f>
        <v>1698.331691756777</v>
      </c>
      <c r="L10" s="719"/>
      <c r="M10" s="719"/>
      <c r="N10" s="719"/>
      <c r="O10" s="719"/>
      <c r="P10" s="748">
        <f>0</f>
        <v>0</v>
      </c>
      <c r="Q10" s="748">
        <f>('[2]Bank XOF'!G44+'[2]Bank XOF'!G50+'[2]Bank XOF'!G58+'[2]Bank XOF'!G83)/655.957</f>
        <v>6087.4782950711706</v>
      </c>
      <c r="R10" s="751">
        <f>'[2]Bank XOF'!G138/655.957+[2]Details!C29+'[2]Bank XOF'!G181/655.957+'[2]Bank XOF'!G226/655.957</f>
        <v>5094.9879336602853</v>
      </c>
      <c r="S10" s="751">
        <f t="shared" si="3"/>
        <v>11182.466228731457</v>
      </c>
      <c r="T10" s="719"/>
      <c r="U10" s="719">
        <f>12</f>
        <v>12</v>
      </c>
      <c r="V10" s="751">
        <f t="shared" si="4"/>
        <v>1698.331691756777</v>
      </c>
      <c r="W10" s="751">
        <f t="shared" si="5"/>
        <v>20379.980301081323</v>
      </c>
      <c r="X10" s="720"/>
      <c r="Y10" s="720"/>
      <c r="Z10" s="720"/>
      <c r="AA10" s="720"/>
      <c r="AB10" s="720"/>
    </row>
    <row r="11" spans="1:28" ht="13.5" customHeight="1" thickBot="1">
      <c r="A11" s="912" t="s">
        <v>1324</v>
      </c>
      <c r="B11" s="733" t="s">
        <v>745</v>
      </c>
      <c r="C11" s="744">
        <f>12*4</f>
        <v>48</v>
      </c>
      <c r="D11" s="735">
        <f t="shared" si="1"/>
        <v>1656.8961793173623</v>
      </c>
      <c r="E11" s="735">
        <f>D11*C11</f>
        <v>79531.016607233396</v>
      </c>
      <c r="F11" s="745" t="s">
        <v>1436</v>
      </c>
      <c r="G11" s="735">
        <f>12</f>
        <v>12</v>
      </c>
      <c r="H11" s="735">
        <f t="shared" si="2"/>
        <v>1656.8961793173623</v>
      </c>
      <c r="I11" s="735">
        <f>H11*G11</f>
        <v>19882.754151808349</v>
      </c>
      <c r="J11" s="719" t="s">
        <v>753</v>
      </c>
      <c r="K11" s="725">
        <f>((569520+50000)/[1]DG!$E$21)/N6</f>
        <v>1656.8961793173623</v>
      </c>
      <c r="L11" s="719"/>
      <c r="M11" s="719"/>
      <c r="N11" s="719"/>
      <c r="O11" s="719"/>
      <c r="P11" s="748">
        <f>0</f>
        <v>0</v>
      </c>
      <c r="Q11" s="748">
        <f>('[2]Bank XOF'!G43+'[2]Bank XOF'!G49+'[2]Bank XOF'!G57+'[2]Bank XOF'!G82)/655.957</f>
        <v>5921.7601153734167</v>
      </c>
      <c r="R11" s="751">
        <f>'[2]Bank XOF'!G137/655.957+[2]Details!C30+'[2]Bank XOF'!G180/655.957+'[2]Bank XOF'!G225/655.957</f>
        <v>4970.6992988869706</v>
      </c>
      <c r="S11" s="751">
        <f t="shared" si="3"/>
        <v>10892.459414260387</v>
      </c>
      <c r="T11" s="719"/>
      <c r="U11" s="719">
        <f>12</f>
        <v>12</v>
      </c>
      <c r="V11" s="751">
        <f t="shared" si="4"/>
        <v>1656.8961793173623</v>
      </c>
      <c r="W11" s="751">
        <f t="shared" si="5"/>
        <v>19882.754151808349</v>
      </c>
      <c r="X11" s="720"/>
      <c r="Y11" s="720"/>
      <c r="Z11" s="720"/>
      <c r="AA11" s="720"/>
      <c r="AB11" s="720"/>
    </row>
    <row r="12" spans="1:28" ht="13.5" customHeight="1" thickBot="1">
      <c r="A12" s="912" t="s">
        <v>1325</v>
      </c>
      <c r="B12" s="733" t="s">
        <v>755</v>
      </c>
      <c r="C12" s="744">
        <f>4*3</f>
        <v>12</v>
      </c>
      <c r="D12" s="735">
        <f t="shared" si="1"/>
        <v>841.00452645200062</v>
      </c>
      <c r="E12" s="735">
        <f>D12*C12</f>
        <v>10092.054317424008</v>
      </c>
      <c r="F12" s="745" t="s">
        <v>1436</v>
      </c>
      <c r="G12" s="735">
        <f>C12/3</f>
        <v>4</v>
      </c>
      <c r="H12" s="735">
        <f t="shared" si="2"/>
        <v>841.00452645200062</v>
      </c>
      <c r="I12" s="735">
        <f>H12*G12</f>
        <v>3364.0181058080025</v>
      </c>
      <c r="J12" s="719" t="s">
        <v>756</v>
      </c>
      <c r="K12" s="725">
        <f>((224554+50000)/[1]DG!$E$21+70000)/N6</f>
        <v>841.00452645200062</v>
      </c>
      <c r="L12" s="753">
        <f>(112360+0.331*112360)*0.99/12</f>
        <v>12337.9707</v>
      </c>
      <c r="M12" s="719" t="s">
        <v>757</v>
      </c>
      <c r="N12" s="719"/>
      <c r="O12" s="719"/>
      <c r="P12" s="748">
        <f>0</f>
        <v>0</v>
      </c>
      <c r="Q12" s="748"/>
      <c r="R12" s="751"/>
      <c r="S12" s="719"/>
      <c r="T12" s="719"/>
      <c r="U12" s="719">
        <v>4</v>
      </c>
      <c r="V12" s="751">
        <f t="shared" si="4"/>
        <v>841.00452645200062</v>
      </c>
      <c r="W12" s="751">
        <f t="shared" si="5"/>
        <v>3364.0181058080025</v>
      </c>
      <c r="X12" s="720"/>
      <c r="Y12" s="720"/>
      <c r="Z12" s="720"/>
      <c r="AA12" s="720"/>
      <c r="AB12" s="720"/>
    </row>
    <row r="13" spans="1:28" ht="27.75" customHeight="1" thickBot="1">
      <c r="A13" s="911" t="s">
        <v>1326</v>
      </c>
      <c r="B13" s="740" t="s">
        <v>745</v>
      </c>
      <c r="C13" s="754"/>
      <c r="D13" s="755"/>
      <c r="E13" s="742">
        <f>SUM(E15:E24)</f>
        <v>2032375.7071012398</v>
      </c>
      <c r="F13" s="742"/>
      <c r="G13" s="742"/>
      <c r="H13" s="742"/>
      <c r="I13" s="742">
        <f>SUM(I15:I24)</f>
        <v>733195.09360084264</v>
      </c>
      <c r="J13" s="742">
        <f t="shared" ref="J13:W13" si="6">SUM(J15:J24)</f>
        <v>0</v>
      </c>
      <c r="K13" s="742">
        <f t="shared" si="6"/>
        <v>54259.489722649494</v>
      </c>
      <c r="L13" s="742">
        <f t="shared" si="6"/>
        <v>0</v>
      </c>
      <c r="M13" s="742">
        <f t="shared" si="6"/>
        <v>9924.950887500001</v>
      </c>
      <c r="N13" s="742">
        <f t="shared" si="6"/>
        <v>0</v>
      </c>
      <c r="O13" s="742">
        <f t="shared" si="6"/>
        <v>0</v>
      </c>
      <c r="P13" s="742">
        <f t="shared" si="6"/>
        <v>0</v>
      </c>
      <c r="Q13" s="742">
        <f t="shared" si="6"/>
        <v>73964.174480949208</v>
      </c>
      <c r="R13" s="742">
        <f t="shared" si="6"/>
        <v>109959.35709200452</v>
      </c>
      <c r="S13" s="742">
        <f t="shared" si="6"/>
        <v>183923.53157295371</v>
      </c>
      <c r="T13" s="742">
        <f t="shared" si="6"/>
        <v>0</v>
      </c>
      <c r="U13" s="742">
        <f t="shared" si="6"/>
        <v>115.2</v>
      </c>
      <c r="V13" s="742">
        <f t="shared" si="6"/>
        <v>54737.352564609158</v>
      </c>
      <c r="W13" s="742">
        <f t="shared" si="6"/>
        <v>579039.69438382087</v>
      </c>
      <c r="X13" s="720"/>
      <c r="Y13" s="720"/>
      <c r="Z13" s="720"/>
      <c r="AA13" s="720"/>
      <c r="AB13" s="720"/>
    </row>
    <row r="14" spans="1:28" ht="13.5" customHeight="1" thickBot="1">
      <c r="A14" s="912" t="s">
        <v>1327</v>
      </c>
      <c r="B14" s="756"/>
      <c r="C14" s="744"/>
      <c r="D14" s="735"/>
      <c r="E14" s="735">
        <f>SUM(E15:E24)</f>
        <v>2032375.7071012398</v>
      </c>
      <c r="F14" s="745"/>
      <c r="G14" s="735"/>
      <c r="H14" s="735"/>
      <c r="I14" s="737"/>
      <c r="J14" s="719"/>
      <c r="K14" s="725"/>
      <c r="L14" s="719"/>
      <c r="M14" s="719" t="s">
        <v>760</v>
      </c>
      <c r="N14" s="719"/>
      <c r="O14" s="719"/>
      <c r="P14" s="748"/>
      <c r="Q14" s="748"/>
      <c r="R14" s="719"/>
      <c r="S14" s="719"/>
      <c r="T14" s="719"/>
      <c r="U14" s="719"/>
      <c r="V14" s="719"/>
      <c r="W14" s="719"/>
      <c r="X14" s="720"/>
      <c r="Y14" s="720"/>
      <c r="Z14" s="720"/>
      <c r="AA14" s="720"/>
      <c r="AB14" s="720"/>
    </row>
    <row r="15" spans="1:28" ht="13.5" customHeight="1" thickBot="1">
      <c r="A15" s="912" t="s">
        <v>1328</v>
      </c>
      <c r="B15" s="733" t="s">
        <v>755</v>
      </c>
      <c r="C15" s="744">
        <f>12*4*40/100</f>
        <v>19.2</v>
      </c>
      <c r="D15" s="735">
        <f>10000.07</f>
        <v>10000.07</v>
      </c>
      <c r="E15" s="735">
        <f>D15*C15</f>
        <v>192001.34399999998</v>
      </c>
      <c r="F15" s="745" t="s">
        <v>1436</v>
      </c>
      <c r="G15" s="735">
        <f>12*60/100</f>
        <v>7.2</v>
      </c>
      <c r="H15" s="735">
        <f>D15</f>
        <v>10000.07</v>
      </c>
      <c r="I15" s="735">
        <f>H15*G15</f>
        <v>72000.504000000001</v>
      </c>
      <c r="J15" s="747" t="s">
        <v>762</v>
      </c>
      <c r="K15" s="725">
        <f>[1]DG!$C$23/N6</f>
        <v>8578.6741102440137</v>
      </c>
      <c r="L15" s="719"/>
      <c r="M15" s="747" t="s">
        <v>763</v>
      </c>
      <c r="N15" s="719"/>
      <c r="O15" s="719"/>
      <c r="P15" s="748">
        <f>0</f>
        <v>0</v>
      </c>
      <c r="Q15" s="748">
        <f>('[2]Bank XOF'!G54+'[2]Bank XOF'!G55+'[2]Bank XOF'!G62+'[2]Bank XOF'!G71+'[2]Bank XOF'!G87)/655.957</f>
        <v>16000</v>
      </c>
      <c r="R15" s="751">
        <f>[2]Details!C18+'[2]Bank XOF'!G142/655.957+'[2]Bank XOF'!G185/655.957+[2]Details!C41+'[2]Bank XOF'!G230/655.957+[2]Details!C61</f>
        <v>12000</v>
      </c>
      <c r="S15" s="751">
        <f>P15+Q15+R15</f>
        <v>28000</v>
      </c>
      <c r="T15" s="719"/>
      <c r="U15" s="751">
        <f>G15</f>
        <v>7.2</v>
      </c>
      <c r="V15" s="751">
        <f>H15</f>
        <v>10000.07</v>
      </c>
      <c r="W15" s="751">
        <f>U15*V15</f>
        <v>72000.504000000001</v>
      </c>
      <c r="X15" s="720"/>
      <c r="Y15" s="720"/>
      <c r="Z15" s="720"/>
      <c r="AA15" s="720"/>
      <c r="AB15" s="720"/>
    </row>
    <row r="16" spans="1:28" ht="13.5" customHeight="1" thickBot="1">
      <c r="A16" s="912" t="s">
        <v>1329</v>
      </c>
      <c r="B16" s="733" t="s">
        <v>745</v>
      </c>
      <c r="C16" s="744">
        <f>12*4</f>
        <v>48</v>
      </c>
      <c r="D16" s="735">
        <f>7007.55</f>
        <v>7007.55</v>
      </c>
      <c r="E16" s="735">
        <f t="shared" ref="E16:E23" si="7">C16*D16</f>
        <v>336362.4</v>
      </c>
      <c r="F16" s="745" t="s">
        <v>1436</v>
      </c>
      <c r="G16" s="735">
        <v>12</v>
      </c>
      <c r="H16" s="735">
        <f>D16</f>
        <v>7007.55</v>
      </c>
      <c r="I16" s="735">
        <f t="shared" ref="I16:I24" si="8">G16*H16</f>
        <v>84090.6</v>
      </c>
      <c r="J16" s="719" t="s">
        <v>765</v>
      </c>
      <c r="K16" s="725">
        <f>[1]P3Chief!$C$23/N6</f>
        <v>6127.5509421095185</v>
      </c>
      <c r="L16" s="719"/>
      <c r="M16" s="719"/>
      <c r="N16" s="719"/>
      <c r="O16" s="719"/>
      <c r="P16" s="748">
        <f>0</f>
        <v>0</v>
      </c>
      <c r="Q16" s="748">
        <f>0</f>
        <v>0</v>
      </c>
      <c r="R16" s="751">
        <f>0</f>
        <v>0</v>
      </c>
      <c r="S16" s="751">
        <f t="shared" ref="S16:S24" si="9">P16+Q16+R16</f>
        <v>0</v>
      </c>
      <c r="T16" s="719"/>
      <c r="U16" s="751">
        <v>0</v>
      </c>
      <c r="V16" s="751">
        <f t="shared" ref="V16:V24" si="10">H16</f>
        <v>7007.55</v>
      </c>
      <c r="W16" s="751">
        <f t="shared" ref="W16:W24" si="11">U16*V16</f>
        <v>0</v>
      </c>
      <c r="X16" s="720"/>
      <c r="Y16" s="720"/>
      <c r="Z16" s="720"/>
      <c r="AA16" s="720"/>
      <c r="AB16" s="720"/>
    </row>
    <row r="17" spans="1:28" ht="13.5" customHeight="1" thickBot="1">
      <c r="A17" s="912" t="s">
        <v>1330</v>
      </c>
      <c r="B17" s="733" t="s">
        <v>755</v>
      </c>
      <c r="C17" s="744">
        <v>48</v>
      </c>
      <c r="D17" s="735">
        <f>5771.35</f>
        <v>5771.35</v>
      </c>
      <c r="E17" s="735">
        <f>D17*C17</f>
        <v>277024.80000000005</v>
      </c>
      <c r="F17" s="745" t="s">
        <v>1436</v>
      </c>
      <c r="G17" s="735">
        <f>12</f>
        <v>12</v>
      </c>
      <c r="H17" s="735">
        <f>D17</f>
        <v>5771.35</v>
      </c>
      <c r="I17" s="735">
        <f>H17*G17</f>
        <v>69256.200000000012</v>
      </c>
      <c r="J17" s="719" t="s">
        <v>767</v>
      </c>
      <c r="K17" s="725">
        <f>[1]financeadmin!$C$23/N6</f>
        <v>5571.3519839461023</v>
      </c>
      <c r="L17" s="719"/>
      <c r="M17" s="719"/>
      <c r="N17" s="719"/>
      <c r="O17" s="719"/>
      <c r="P17" s="748">
        <f>0</f>
        <v>0</v>
      </c>
      <c r="Q17" s="748">
        <f>('[2]Bank XOF'!G36+'[2]Bank XOF'!G72+'[2]Bank XOF'!G73+'[2]Bank XOF'!G80)/655.957</f>
        <v>8244.7843379977658</v>
      </c>
      <c r="R17" s="751">
        <f>('[2]Bank XOF'!G128+'[2]Bank XOF'!G134)/655.957+('[2]Bank XOF'!G177+'[2]Bank XOF'!G191)/655.957+('[2]Bank XOF'!G221+'[2]Bank XOF'!G232)/655.957</f>
        <v>17314.048024489413</v>
      </c>
      <c r="S17" s="751">
        <f t="shared" si="9"/>
        <v>25558.832362487177</v>
      </c>
      <c r="T17" s="719"/>
      <c r="U17" s="751">
        <f t="shared" ref="U17:U23" si="12">G17</f>
        <v>12</v>
      </c>
      <c r="V17" s="751">
        <f t="shared" si="10"/>
        <v>5771.35</v>
      </c>
      <c r="W17" s="751">
        <f t="shared" si="11"/>
        <v>69256.200000000012</v>
      </c>
      <c r="X17" s="720"/>
      <c r="Y17" s="720"/>
      <c r="Z17" s="720"/>
      <c r="AA17" s="720"/>
      <c r="AB17" s="720"/>
    </row>
    <row r="18" spans="1:28" ht="13.5" customHeight="1" thickBot="1">
      <c r="A18" s="912" t="s">
        <v>1331</v>
      </c>
      <c r="B18" s="733" t="s">
        <v>745</v>
      </c>
      <c r="C18" s="744">
        <f>12*2</f>
        <v>24</v>
      </c>
      <c r="D18" s="735">
        <f>4229.8</f>
        <v>4229.8</v>
      </c>
      <c r="E18" s="735">
        <f t="shared" si="7"/>
        <v>101515.20000000001</v>
      </c>
      <c r="F18" s="745" t="s">
        <v>1436</v>
      </c>
      <c r="G18" s="735">
        <f>12</f>
        <v>12</v>
      </c>
      <c r="H18" s="735">
        <f>D18</f>
        <v>4229.8</v>
      </c>
      <c r="I18" s="735">
        <f t="shared" si="8"/>
        <v>50757.600000000006</v>
      </c>
      <c r="J18" s="719" t="s">
        <v>768</v>
      </c>
      <c r="K18" s="725">
        <f>[1]climatechangescienctist!$C$23/N6</f>
        <v>4729.7968210314602</v>
      </c>
      <c r="L18" s="719"/>
      <c r="M18" s="719"/>
      <c r="N18" s="719"/>
      <c r="O18" s="719"/>
      <c r="P18" s="748">
        <f>0</f>
        <v>0</v>
      </c>
      <c r="Q18" s="748">
        <f>0</f>
        <v>0</v>
      </c>
      <c r="R18" s="751">
        <f>('[2]Bank XOF'!G166+'[2]Bank XOF'!G188)/655.957+[2]Details!C49+'[2]Bank XOF'!G223/655.957+[2]Details!C62</f>
        <v>8459.600248187</v>
      </c>
      <c r="S18" s="751">
        <f t="shared" si="9"/>
        <v>8459.600248187</v>
      </c>
      <c r="T18" s="719"/>
      <c r="U18" s="751">
        <f t="shared" si="12"/>
        <v>12</v>
      </c>
      <c r="V18" s="751">
        <f t="shared" si="10"/>
        <v>4229.8</v>
      </c>
      <c r="W18" s="751">
        <f t="shared" si="11"/>
        <v>50757.600000000006</v>
      </c>
      <c r="X18" s="720"/>
      <c r="Y18" s="720"/>
      <c r="Z18" s="720"/>
      <c r="AA18" s="720"/>
      <c r="AB18" s="720"/>
    </row>
    <row r="19" spans="1:28" ht="19.5" customHeight="1" thickBot="1">
      <c r="A19" s="912" t="s">
        <v>1332</v>
      </c>
      <c r="B19" s="733" t="s">
        <v>745</v>
      </c>
      <c r="C19" s="744">
        <f>12*4</f>
        <v>48</v>
      </c>
      <c r="D19" s="735">
        <f>K19</f>
        <v>5657.9826624814332</v>
      </c>
      <c r="E19" s="735">
        <f t="shared" si="7"/>
        <v>271583.16779910878</v>
      </c>
      <c r="F19" s="745" t="s">
        <v>1436</v>
      </c>
      <c r="G19" s="735">
        <v>12</v>
      </c>
      <c r="H19" s="735">
        <f>K19</f>
        <v>5657.9826624814332</v>
      </c>
      <c r="I19" s="735">
        <f t="shared" si="8"/>
        <v>67895.791949777195</v>
      </c>
      <c r="J19" s="718" t="s">
        <v>769</v>
      </c>
      <c r="K19" s="725">
        <f>[1]Leadforecaster!$C$23/N6</f>
        <v>5657.9826624814332</v>
      </c>
      <c r="L19" s="757" t="s">
        <v>770</v>
      </c>
      <c r="M19" s="753">
        <f>((90385 +0.331*90385)/12)*0.99</f>
        <v>9924.950887500001</v>
      </c>
      <c r="N19" s="719"/>
      <c r="O19" s="719"/>
      <c r="P19" s="748">
        <f>0</f>
        <v>0</v>
      </c>
      <c r="Q19" s="748">
        <f>0</f>
        <v>0</v>
      </c>
      <c r="R19" s="751">
        <f>'[2]Bank XOF'!G135/655.957+('[2]Bank XOF'!G178+'[2]Bank XOF'!G193)/655.957+[2]Details!C50+'[2]Bank XOF'!G222/655.957+[2]Details!C63</f>
        <v>16973.941889483609</v>
      </c>
      <c r="S19" s="751">
        <f t="shared" si="9"/>
        <v>16973.941889483609</v>
      </c>
      <c r="T19" s="719"/>
      <c r="U19" s="751">
        <f t="shared" si="12"/>
        <v>12</v>
      </c>
      <c r="V19" s="751">
        <f t="shared" si="10"/>
        <v>5657.9826624814332</v>
      </c>
      <c r="W19" s="751">
        <f t="shared" si="11"/>
        <v>67895.791949777195</v>
      </c>
      <c r="X19" s="720"/>
      <c r="Y19" s="720"/>
      <c r="Z19" s="720"/>
      <c r="AA19" s="720"/>
      <c r="AB19" s="720"/>
    </row>
    <row r="20" spans="1:28" ht="17.25" customHeight="1" thickBot="1">
      <c r="A20" s="912" t="s">
        <v>1333</v>
      </c>
      <c r="B20" s="733" t="s">
        <v>745</v>
      </c>
      <c r="C20" s="744">
        <f>12*3*2</f>
        <v>72</v>
      </c>
      <c r="D20" s="735">
        <f>K20</f>
        <v>4523.533300709244</v>
      </c>
      <c r="E20" s="735">
        <f>D20*C20</f>
        <v>325694.39765106555</v>
      </c>
      <c r="F20" s="745" t="s">
        <v>1436</v>
      </c>
      <c r="G20" s="735">
        <f>12*2*2</f>
        <v>48</v>
      </c>
      <c r="H20" s="735">
        <f>K20</f>
        <v>4523.533300709244</v>
      </c>
      <c r="I20" s="735">
        <f>H20*G20</f>
        <v>217129.5984340437</v>
      </c>
      <c r="J20" s="718" t="s">
        <v>768</v>
      </c>
      <c r="K20" s="725">
        <f>[1]forecasters!$C$23/N6</f>
        <v>4523.533300709244</v>
      </c>
      <c r="L20" s="757"/>
      <c r="M20" s="719"/>
      <c r="N20" s="719"/>
      <c r="O20" s="719"/>
      <c r="P20" s="748">
        <f>0</f>
        <v>0</v>
      </c>
      <c r="Q20" s="748">
        <f>('[2]Bank XOF'!G18+'[2]Bank XOF'!G19+'[2]Bank XOF'!G25+'[2]Bank XOF'!G27+'[2]Bank XOF'!G28+'[2]Bank XOF'!G30+'[2]Bank XOF'!G32+'[2]Bank XOF'!G34+'[2]Bank XOF'!G40+'[2]Bank XOF'!G41+'[2]Bank XOF'!G67+'[2]Bank XOF'!G68+'[2]Bank XOF'!G76+'[2]Bank XOF'!G78)/655.957</f>
        <v>27148.800912254919</v>
      </c>
      <c r="R20" s="751">
        <f>[2]Details!C14+[2]Details!C15+('[2]Bank XOF'!G130+'[2]Bank XOF'!G132)/655.957+('[2]Bank XOF'!G173+'[2]Bank XOF'!G175)/655.957+[2]Details!C37+[2]Details!C38+('[2]Bank XOF'!G217+'[2]Bank XOF'!G219)/655.957+[2]Details!C57+[2]Details!C58</f>
        <v>27141.17846139305</v>
      </c>
      <c r="S20" s="751">
        <f t="shared" si="9"/>
        <v>54289.97937364797</v>
      </c>
      <c r="T20" s="719"/>
      <c r="U20" s="751">
        <f>24</f>
        <v>24</v>
      </c>
      <c r="V20" s="751">
        <f t="shared" si="10"/>
        <v>4523.533300709244</v>
      </c>
      <c r="W20" s="751">
        <f t="shared" si="11"/>
        <v>108564.79921702185</v>
      </c>
      <c r="X20" s="720"/>
      <c r="Y20" s="720"/>
      <c r="Z20" s="720"/>
      <c r="AA20" s="720"/>
      <c r="AB20" s="720"/>
    </row>
    <row r="21" spans="1:28" ht="13.5" customHeight="1" thickBot="1">
      <c r="A21" s="912" t="s">
        <v>1334</v>
      </c>
      <c r="B21" s="733" t="s">
        <v>745</v>
      </c>
      <c r="C21" s="744">
        <f>12*3</f>
        <v>36</v>
      </c>
      <c r="D21" s="735">
        <f>D20</f>
        <v>4523.533300709244</v>
      </c>
      <c r="E21" s="735">
        <f t="shared" si="7"/>
        <v>162847.19882553277</v>
      </c>
      <c r="F21" s="745" t="s">
        <v>1436</v>
      </c>
      <c r="G21" s="735">
        <v>12</v>
      </c>
      <c r="H21" s="735">
        <f>H20</f>
        <v>4523.533300709244</v>
      </c>
      <c r="I21" s="735">
        <f t="shared" si="8"/>
        <v>54282.399608510925</v>
      </c>
      <c r="J21" s="719" t="s">
        <v>773</v>
      </c>
      <c r="K21" s="725">
        <f>K20</f>
        <v>4523.533300709244</v>
      </c>
      <c r="L21" s="719"/>
      <c r="M21" s="719"/>
      <c r="N21" s="719"/>
      <c r="O21" s="719"/>
      <c r="P21" s="748">
        <f>0</f>
        <v>0</v>
      </c>
      <c r="Q21" s="748">
        <f>('[2]Bank XOF'!G20+'[2]Bank XOF'!G26+'[2]Bank XOF'!G29+'[2]Bank XOF'!G33+'[2]Bank XOF'!G39+'[2]Bank XOF'!G69+'[2]Bank XOF'!G77)/655.957</f>
        <v>13570.589230696525</v>
      </c>
      <c r="R21" s="751">
        <f>[2]Details!C16+('[2]Bank XOF'!G131)/655.957+'[2]Bank XOF'!G174/655.957+[2]Details!C39+'[2]Bank XOF'!G218/655.957+[2]Details!C59</f>
        <v>13570.589230696525</v>
      </c>
      <c r="S21" s="751">
        <f t="shared" si="9"/>
        <v>27141.17846139305</v>
      </c>
      <c r="T21" s="719"/>
      <c r="U21" s="751">
        <f t="shared" si="12"/>
        <v>12</v>
      </c>
      <c r="V21" s="751">
        <f t="shared" si="10"/>
        <v>4523.533300709244</v>
      </c>
      <c r="W21" s="751">
        <f t="shared" si="11"/>
        <v>54282.399608510925</v>
      </c>
      <c r="X21" s="720"/>
      <c r="Y21" s="720"/>
      <c r="Z21" s="720"/>
      <c r="AA21" s="720"/>
      <c r="AB21" s="720"/>
    </row>
    <row r="22" spans="1:28" ht="13.5" customHeight="1" thickBot="1">
      <c r="A22" s="912" t="s">
        <v>1335</v>
      </c>
      <c r="B22" s="733" t="s">
        <v>750</v>
      </c>
      <c r="C22" s="744">
        <f>12*3</f>
        <v>36</v>
      </c>
      <c r="D22" s="735">
        <f>D20</f>
        <v>4523.533300709244</v>
      </c>
      <c r="E22" s="735">
        <f t="shared" si="7"/>
        <v>162847.19882553277</v>
      </c>
      <c r="F22" s="745" t="s">
        <v>1436</v>
      </c>
      <c r="G22" s="735">
        <v>12</v>
      </c>
      <c r="H22" s="735">
        <f>D22</f>
        <v>4523.533300709244</v>
      </c>
      <c r="I22" s="735">
        <f t="shared" si="8"/>
        <v>54282.399608510925</v>
      </c>
      <c r="J22" s="719" t="s">
        <v>768</v>
      </c>
      <c r="K22" s="725">
        <f>K21</f>
        <v>4523.533300709244</v>
      </c>
      <c r="L22" s="719"/>
      <c r="M22" s="719"/>
      <c r="N22" s="719"/>
      <c r="O22" s="719"/>
      <c r="P22" s="748">
        <f>0</f>
        <v>0</v>
      </c>
      <c r="Q22" s="748">
        <f>0</f>
        <v>0</v>
      </c>
      <c r="R22" s="751">
        <f>0</f>
        <v>0</v>
      </c>
      <c r="S22" s="751">
        <f t="shared" si="9"/>
        <v>0</v>
      </c>
      <c r="T22" s="719"/>
      <c r="U22" s="751">
        <f t="shared" si="12"/>
        <v>12</v>
      </c>
      <c r="V22" s="751">
        <f t="shared" si="10"/>
        <v>4523.533300709244</v>
      </c>
      <c r="W22" s="751">
        <f t="shared" si="11"/>
        <v>54282.399608510925</v>
      </c>
      <c r="X22" s="720"/>
      <c r="Y22" s="720"/>
      <c r="Z22" s="720"/>
      <c r="AA22" s="720"/>
      <c r="AB22" s="720"/>
    </row>
    <row r="23" spans="1:28" ht="13.5" customHeight="1" thickBot="1">
      <c r="A23" s="912" t="s">
        <v>1336</v>
      </c>
      <c r="B23" s="733" t="s">
        <v>750</v>
      </c>
      <c r="C23" s="744">
        <f>40</f>
        <v>40</v>
      </c>
      <c r="D23" s="735">
        <f>3000</f>
        <v>3000</v>
      </c>
      <c r="E23" s="735">
        <f t="shared" si="7"/>
        <v>120000</v>
      </c>
      <c r="F23" s="745" t="s">
        <v>1436</v>
      </c>
      <c r="G23" s="735">
        <f>12</f>
        <v>12</v>
      </c>
      <c r="H23" s="735">
        <f>D23</f>
        <v>3000</v>
      </c>
      <c r="I23" s="735">
        <f t="shared" si="8"/>
        <v>36000</v>
      </c>
      <c r="J23" s="719" t="s">
        <v>768</v>
      </c>
      <c r="K23" s="725">
        <f>K22</f>
        <v>4523.533300709244</v>
      </c>
      <c r="L23" s="719"/>
      <c r="M23" s="719"/>
      <c r="N23" s="719"/>
      <c r="O23" s="719"/>
      <c r="P23" s="748">
        <f>0</f>
        <v>0</v>
      </c>
      <c r="Q23" s="748">
        <f>('[2]Bank XOF'!G21+'[2]Bank XOF'!G24+'[2]Bank XOF'!G31+'[2]Bank XOF'!G35+'[2]Bank XOF'!G38+'[2]Bank XOF'!G70+'[2]Bank XOF'!G79)/655.957</f>
        <v>9000</v>
      </c>
      <c r="R23" s="751">
        <f>[2]Details!C17+'[2]Bank XOF'!G133/655.957+'[2]Bank XOF'!G176/655.957+[2]Details!C40+'[2]Bank XOF'!G220/655.957+[2]Details!C60</f>
        <v>9000</v>
      </c>
      <c r="S23" s="751">
        <f t="shared" si="9"/>
        <v>18000</v>
      </c>
      <c r="T23" s="719"/>
      <c r="U23" s="751">
        <f t="shared" si="12"/>
        <v>12</v>
      </c>
      <c r="V23" s="751">
        <f t="shared" si="10"/>
        <v>3000</v>
      </c>
      <c r="W23" s="751">
        <f t="shared" si="11"/>
        <v>36000</v>
      </c>
      <c r="X23" s="720"/>
      <c r="Y23" s="720"/>
      <c r="Z23" s="720"/>
      <c r="AA23" s="720"/>
      <c r="AB23" s="720"/>
    </row>
    <row r="24" spans="1:28" ht="13.5" customHeight="1" thickBot="1">
      <c r="A24" s="912" t="s">
        <v>1337</v>
      </c>
      <c r="B24" s="733" t="s">
        <v>745</v>
      </c>
      <c r="C24" s="744">
        <f>15</f>
        <v>15</v>
      </c>
      <c r="D24" s="735">
        <f>H24</f>
        <v>5500</v>
      </c>
      <c r="E24" s="735">
        <f>D24*C24</f>
        <v>82500</v>
      </c>
      <c r="F24" s="745" t="s">
        <v>1436</v>
      </c>
      <c r="G24" s="735">
        <f>5</f>
        <v>5</v>
      </c>
      <c r="H24" s="735">
        <f>5500</f>
        <v>5500</v>
      </c>
      <c r="I24" s="735">
        <f t="shared" si="8"/>
        <v>27500</v>
      </c>
      <c r="J24" s="758" t="s">
        <v>777</v>
      </c>
      <c r="K24" s="725">
        <f>5500</f>
        <v>5500</v>
      </c>
      <c r="L24" s="719"/>
      <c r="M24" s="719"/>
      <c r="N24" s="719"/>
      <c r="O24" s="719"/>
      <c r="P24" s="748">
        <f>0</f>
        <v>0</v>
      </c>
      <c r="Q24" s="748">
        <f>0</f>
        <v>0</v>
      </c>
      <c r="R24" s="751">
        <f>('[2]Bank XOF'!G165+'[2]Bank XOF'!G189)/655.957</f>
        <v>5499.9992377549142</v>
      </c>
      <c r="S24" s="751">
        <f t="shared" si="9"/>
        <v>5499.9992377549142</v>
      </c>
      <c r="T24" s="719"/>
      <c r="U24" s="751">
        <v>12</v>
      </c>
      <c r="V24" s="751">
        <f t="shared" si="10"/>
        <v>5500</v>
      </c>
      <c r="W24" s="751">
        <f t="shared" si="11"/>
        <v>66000</v>
      </c>
      <c r="X24" s="720"/>
      <c r="Y24" s="720"/>
      <c r="Z24" s="720"/>
      <c r="AA24" s="720"/>
      <c r="AB24" s="720"/>
    </row>
    <row r="25" spans="1:28" ht="8.25" customHeight="1" thickBot="1">
      <c r="A25" s="912"/>
      <c r="B25" s="733"/>
      <c r="C25" s="744"/>
      <c r="D25" s="735"/>
      <c r="E25" s="737"/>
      <c r="F25" s="745"/>
      <c r="G25" s="735"/>
      <c r="H25" s="735"/>
      <c r="I25" s="737"/>
      <c r="J25" s="758"/>
      <c r="K25" s="725"/>
      <c r="L25" s="719"/>
      <c r="M25" s="719"/>
      <c r="N25" s="719"/>
      <c r="O25" s="719"/>
      <c r="P25" s="748"/>
      <c r="Q25" s="748"/>
      <c r="R25" s="719"/>
      <c r="S25" s="719"/>
      <c r="T25" s="719"/>
      <c r="U25" s="719"/>
      <c r="V25" s="719"/>
      <c r="W25" s="719"/>
      <c r="X25" s="720"/>
      <c r="Y25" s="720"/>
      <c r="Z25" s="720"/>
      <c r="AA25" s="720"/>
      <c r="AB25" s="720"/>
    </row>
    <row r="26" spans="1:28" ht="19.149999999999999" customHeight="1" thickBot="1">
      <c r="A26" s="911" t="s">
        <v>1338</v>
      </c>
      <c r="B26" s="759"/>
      <c r="C26" s="760"/>
      <c r="D26" s="755"/>
      <c r="E26" s="742">
        <f>E27+E38</f>
        <v>278440</v>
      </c>
      <c r="F26" s="742"/>
      <c r="G26" s="742"/>
      <c r="H26" s="742"/>
      <c r="I26" s="742">
        <f>I27+I37+I38</f>
        <v>55640</v>
      </c>
      <c r="J26" s="742">
        <f t="shared" ref="J26:W26" si="13">J27+J37+J38</f>
        <v>0</v>
      </c>
      <c r="K26" s="742">
        <f t="shared" si="13"/>
        <v>9340.4700000000012</v>
      </c>
      <c r="L26" s="742">
        <f t="shared" si="13"/>
        <v>6162.42</v>
      </c>
      <c r="M26" s="742">
        <f t="shared" si="13"/>
        <v>0</v>
      </c>
      <c r="N26" s="742">
        <f t="shared" si="13"/>
        <v>0</v>
      </c>
      <c r="O26" s="742">
        <f t="shared" si="13"/>
        <v>0</v>
      </c>
      <c r="P26" s="742">
        <f t="shared" si="13"/>
        <v>0</v>
      </c>
      <c r="Q26" s="742">
        <f t="shared" si="13"/>
        <v>0</v>
      </c>
      <c r="R26" s="742">
        <f t="shared" si="13"/>
        <v>10583.998646252727</v>
      </c>
      <c r="S26" s="742">
        <f t="shared" si="13"/>
        <v>10583.998646252727</v>
      </c>
      <c r="T26" s="742">
        <f t="shared" si="13"/>
        <v>0</v>
      </c>
      <c r="U26" s="742">
        <f t="shared" si="13"/>
        <v>289</v>
      </c>
      <c r="V26" s="742">
        <f t="shared" si="13"/>
        <v>2120</v>
      </c>
      <c r="W26" s="742">
        <f t="shared" si="13"/>
        <v>54820</v>
      </c>
      <c r="X26" s="720"/>
      <c r="Y26" s="720"/>
      <c r="Z26" s="720"/>
      <c r="AA26" s="720"/>
      <c r="AB26" s="720"/>
    </row>
    <row r="27" spans="1:28" ht="16.149999999999999" customHeight="1" thickBot="1">
      <c r="A27" s="913" t="s">
        <v>1339</v>
      </c>
      <c r="B27" s="756" t="s">
        <v>779</v>
      </c>
      <c r="C27" s="762"/>
      <c r="D27" s="737"/>
      <c r="E27" s="763">
        <f>SUM(E28:E35)</f>
        <v>151920</v>
      </c>
      <c r="F27" s="763"/>
      <c r="G27" s="763"/>
      <c r="H27" s="763"/>
      <c r="I27" s="763">
        <f>SUM(I28:I35)</f>
        <v>29880</v>
      </c>
      <c r="J27" s="763">
        <f t="shared" ref="J27:W27" si="14">SUM(J28:J35)</f>
        <v>0</v>
      </c>
      <c r="K27" s="763">
        <f t="shared" si="14"/>
        <v>9340.4700000000012</v>
      </c>
      <c r="L27" s="763">
        <f t="shared" si="14"/>
        <v>6162.42</v>
      </c>
      <c r="M27" s="763">
        <f t="shared" si="14"/>
        <v>0</v>
      </c>
      <c r="N27" s="763">
        <f t="shared" si="14"/>
        <v>0</v>
      </c>
      <c r="O27" s="763">
        <f t="shared" si="14"/>
        <v>0</v>
      </c>
      <c r="P27" s="763">
        <f t="shared" si="14"/>
        <v>0</v>
      </c>
      <c r="Q27" s="763">
        <f t="shared" si="14"/>
        <v>0</v>
      </c>
      <c r="R27" s="763">
        <f t="shared" si="14"/>
        <v>10583.998646252727</v>
      </c>
      <c r="S27" s="763">
        <f t="shared" si="14"/>
        <v>10583.998646252727</v>
      </c>
      <c r="T27" s="763">
        <f t="shared" si="14"/>
        <v>0</v>
      </c>
      <c r="U27" s="763">
        <f t="shared" si="14"/>
        <v>217</v>
      </c>
      <c r="V27" s="763">
        <f t="shared" si="14"/>
        <v>1440</v>
      </c>
      <c r="W27" s="763">
        <f t="shared" si="14"/>
        <v>39060</v>
      </c>
      <c r="X27" s="720"/>
      <c r="Y27" s="720"/>
      <c r="Z27" s="720"/>
      <c r="AA27" s="720"/>
      <c r="AB27" s="720"/>
    </row>
    <row r="28" spans="1:28" ht="27" customHeight="1" thickBot="1">
      <c r="A28" s="912" t="s">
        <v>1340</v>
      </c>
      <c r="B28" s="733" t="s">
        <v>779</v>
      </c>
      <c r="C28" s="744">
        <f>15*1*6</f>
        <v>90</v>
      </c>
      <c r="D28" s="735">
        <v>180</v>
      </c>
      <c r="E28" s="735">
        <f t="shared" ref="E28:E35" si="15">C28*D28</f>
        <v>16200</v>
      </c>
      <c r="F28" s="764" t="s">
        <v>779</v>
      </c>
      <c r="G28" s="765">
        <v>10</v>
      </c>
      <c r="H28" s="735">
        <f>D28</f>
        <v>180</v>
      </c>
      <c r="I28" s="765">
        <f t="shared" ref="I28:I35" si="16">G28*H28</f>
        <v>1800</v>
      </c>
      <c r="J28" s="766" t="s">
        <v>781</v>
      </c>
      <c r="K28" s="767">
        <f>((56022+13462+1793)*0.11+1500)</f>
        <v>9340.4700000000012</v>
      </c>
      <c r="L28" s="747">
        <f>56022*0.11</f>
        <v>6162.42</v>
      </c>
      <c r="M28" s="719"/>
      <c r="N28" s="719"/>
      <c r="O28" s="719"/>
      <c r="P28" s="748">
        <f>0</f>
        <v>0</v>
      </c>
      <c r="Q28" s="748">
        <f>0</f>
        <v>0</v>
      </c>
      <c r="R28" s="751">
        <f>0</f>
        <v>0</v>
      </c>
      <c r="S28" s="751">
        <f>P28+Q28+R28</f>
        <v>0</v>
      </c>
      <c r="T28" s="719"/>
      <c r="U28" s="749">
        <v>45</v>
      </c>
      <c r="V28" s="749">
        <f>180</f>
        <v>180</v>
      </c>
      <c r="W28" s="749">
        <f>U28*V28</f>
        <v>8100</v>
      </c>
      <c r="X28" s="720"/>
      <c r="Y28" s="720"/>
      <c r="Z28" s="720"/>
      <c r="AA28" s="720"/>
      <c r="AB28" s="720"/>
    </row>
    <row r="29" spans="1:28" ht="28.5" customHeight="1" thickBot="1">
      <c r="A29" s="912" t="s">
        <v>1341</v>
      </c>
      <c r="B29" s="733" t="s">
        <v>779</v>
      </c>
      <c r="C29" s="744">
        <f>C28</f>
        <v>90</v>
      </c>
      <c r="D29" s="735">
        <f>D28</f>
        <v>180</v>
      </c>
      <c r="E29" s="735">
        <f t="shared" si="15"/>
        <v>16200</v>
      </c>
      <c r="F29" s="764" t="s">
        <v>779</v>
      </c>
      <c r="G29" s="765">
        <f>G28</f>
        <v>10</v>
      </c>
      <c r="H29" s="735">
        <f>H28</f>
        <v>180</v>
      </c>
      <c r="I29" s="765">
        <f t="shared" si="16"/>
        <v>1800</v>
      </c>
      <c r="J29" s="719"/>
      <c r="K29" s="725"/>
      <c r="L29" s="719"/>
      <c r="M29" s="719"/>
      <c r="N29" s="719"/>
      <c r="O29" s="719"/>
      <c r="P29" s="748">
        <f>0</f>
        <v>0</v>
      </c>
      <c r="Q29" s="748">
        <f>0</f>
        <v>0</v>
      </c>
      <c r="R29" s="751">
        <f>0</f>
        <v>0</v>
      </c>
      <c r="S29" s="751">
        <f t="shared" ref="S29:S35" si="17">P29+Q29+R29</f>
        <v>0</v>
      </c>
      <c r="T29" s="719"/>
      <c r="U29" s="749">
        <v>45</v>
      </c>
      <c r="V29" s="749">
        <f>180</f>
        <v>180</v>
      </c>
      <c r="W29" s="749">
        <f t="shared" ref="W29:W35" si="18">U29*V29</f>
        <v>8100</v>
      </c>
      <c r="X29" s="720"/>
      <c r="Y29" s="720"/>
      <c r="Z29" s="720"/>
      <c r="AA29" s="720"/>
      <c r="AB29" s="720"/>
    </row>
    <row r="30" spans="1:28" ht="36" customHeight="1" thickBot="1">
      <c r="A30" s="912" t="s">
        <v>1342</v>
      </c>
      <c r="B30" s="733" t="s">
        <v>779</v>
      </c>
      <c r="C30" s="744">
        <f>2*3*2</f>
        <v>12</v>
      </c>
      <c r="D30" s="735">
        <f t="shared" ref="D30:D35" si="19">D29</f>
        <v>180</v>
      </c>
      <c r="E30" s="735">
        <f t="shared" si="15"/>
        <v>2160</v>
      </c>
      <c r="F30" s="764" t="s">
        <v>779</v>
      </c>
      <c r="G30" s="765">
        <f>C30/4</f>
        <v>3</v>
      </c>
      <c r="H30" s="735">
        <f t="shared" ref="H30:H35" si="20">D30</f>
        <v>180</v>
      </c>
      <c r="I30" s="765">
        <f t="shared" si="16"/>
        <v>540</v>
      </c>
      <c r="J30" s="719"/>
      <c r="K30" s="725"/>
      <c r="L30" s="719"/>
      <c r="M30" s="719"/>
      <c r="N30" s="719"/>
      <c r="O30" s="719"/>
      <c r="P30" s="748">
        <f>0</f>
        <v>0</v>
      </c>
      <c r="Q30" s="748">
        <f>0</f>
        <v>0</v>
      </c>
      <c r="R30" s="751">
        <f>0</f>
        <v>0</v>
      </c>
      <c r="S30" s="751">
        <f t="shared" si="17"/>
        <v>0</v>
      </c>
      <c r="T30" s="719"/>
      <c r="U30" s="749">
        <f>G30</f>
        <v>3</v>
      </c>
      <c r="V30" s="749">
        <f>180</f>
        <v>180</v>
      </c>
      <c r="W30" s="749">
        <f t="shared" si="18"/>
        <v>540</v>
      </c>
      <c r="X30" s="720"/>
      <c r="Y30" s="720"/>
      <c r="Z30" s="720"/>
      <c r="AA30" s="720"/>
      <c r="AB30" s="720"/>
    </row>
    <row r="31" spans="1:28" ht="36" customHeight="1" thickBot="1">
      <c r="A31" s="912" t="s">
        <v>1343</v>
      </c>
      <c r="B31" s="733" t="s">
        <v>779</v>
      </c>
      <c r="C31" s="744">
        <f>5*4*4*5</f>
        <v>400</v>
      </c>
      <c r="D31" s="735">
        <f t="shared" si="19"/>
        <v>180</v>
      </c>
      <c r="E31" s="735">
        <f t="shared" si="15"/>
        <v>72000</v>
      </c>
      <c r="F31" s="764" t="s">
        <v>779</v>
      </c>
      <c r="G31" s="765">
        <f>C31/5</f>
        <v>80</v>
      </c>
      <c r="H31" s="735">
        <f t="shared" si="20"/>
        <v>180</v>
      </c>
      <c r="I31" s="765">
        <f t="shared" si="16"/>
        <v>14400</v>
      </c>
      <c r="J31" s="719"/>
      <c r="K31" s="725" t="s">
        <v>449</v>
      </c>
      <c r="L31" s="719"/>
      <c r="M31" s="719"/>
      <c r="N31" s="719"/>
      <c r="O31" s="719"/>
      <c r="P31" s="748">
        <f>0</f>
        <v>0</v>
      </c>
      <c r="Q31" s="748">
        <f>0</f>
        <v>0</v>
      </c>
      <c r="R31" s="751">
        <f>0</f>
        <v>0</v>
      </c>
      <c r="S31" s="751">
        <f t="shared" si="17"/>
        <v>0</v>
      </c>
      <c r="T31" s="719"/>
      <c r="U31" s="749">
        <v>40</v>
      </c>
      <c r="V31" s="749">
        <f>180</f>
        <v>180</v>
      </c>
      <c r="W31" s="749">
        <f t="shared" si="18"/>
        <v>7200</v>
      </c>
      <c r="X31" s="720"/>
      <c r="Y31" s="720"/>
      <c r="Z31" s="720"/>
      <c r="AA31" s="720"/>
      <c r="AB31" s="720"/>
    </row>
    <row r="32" spans="1:28" ht="33.75" customHeight="1" thickBot="1">
      <c r="A32" s="912" t="s">
        <v>1344</v>
      </c>
      <c r="B32" s="733" t="s">
        <v>779</v>
      </c>
      <c r="C32" s="744">
        <f>2*4*7</f>
        <v>56</v>
      </c>
      <c r="D32" s="735">
        <f t="shared" si="19"/>
        <v>180</v>
      </c>
      <c r="E32" s="735">
        <f t="shared" si="15"/>
        <v>10080</v>
      </c>
      <c r="F32" s="764" t="s">
        <v>779</v>
      </c>
      <c r="G32" s="765">
        <f>C32/4</f>
        <v>14</v>
      </c>
      <c r="H32" s="735">
        <f t="shared" si="20"/>
        <v>180</v>
      </c>
      <c r="I32" s="765">
        <f t="shared" si="16"/>
        <v>2520</v>
      </c>
      <c r="J32" s="719"/>
      <c r="K32" s="725"/>
      <c r="L32" s="719"/>
      <c r="M32" s="719"/>
      <c r="N32" s="719"/>
      <c r="O32" s="719"/>
      <c r="P32" s="748">
        <f>0</f>
        <v>0</v>
      </c>
      <c r="Q32" s="748">
        <f>0</f>
        <v>0</v>
      </c>
      <c r="R32" s="751">
        <f>0</f>
        <v>0</v>
      </c>
      <c r="S32" s="751">
        <f t="shared" si="17"/>
        <v>0</v>
      </c>
      <c r="T32" s="719"/>
      <c r="U32" s="749">
        <f>G32</f>
        <v>14</v>
      </c>
      <c r="V32" s="749">
        <f>180</f>
        <v>180</v>
      </c>
      <c r="W32" s="749">
        <f t="shared" si="18"/>
        <v>2520</v>
      </c>
      <c r="X32" s="720"/>
      <c r="Y32" s="720"/>
      <c r="Z32" s="720"/>
      <c r="AA32" s="720"/>
      <c r="AB32" s="720"/>
    </row>
    <row r="33" spans="1:28" ht="25.15" customHeight="1" thickBot="1">
      <c r="A33" s="912" t="s">
        <v>1345</v>
      </c>
      <c r="B33" s="733" t="s">
        <v>779</v>
      </c>
      <c r="C33" s="744">
        <f>C32</f>
        <v>56</v>
      </c>
      <c r="D33" s="735">
        <f t="shared" si="19"/>
        <v>180</v>
      </c>
      <c r="E33" s="735">
        <f t="shared" si="15"/>
        <v>10080</v>
      </c>
      <c r="F33" s="764" t="s">
        <v>779</v>
      </c>
      <c r="G33" s="765">
        <f>G32</f>
        <v>14</v>
      </c>
      <c r="H33" s="735">
        <f t="shared" si="20"/>
        <v>180</v>
      </c>
      <c r="I33" s="765">
        <f t="shared" si="16"/>
        <v>2520</v>
      </c>
      <c r="J33" s="719"/>
      <c r="K33" s="725"/>
      <c r="L33" s="719"/>
      <c r="M33" s="719"/>
      <c r="N33" s="719"/>
      <c r="O33" s="719"/>
      <c r="P33" s="748">
        <f>0</f>
        <v>0</v>
      </c>
      <c r="Q33" s="748">
        <f>0</f>
        <v>0</v>
      </c>
      <c r="R33" s="751">
        <f>0</f>
        <v>0</v>
      </c>
      <c r="S33" s="751">
        <f t="shared" si="17"/>
        <v>0</v>
      </c>
      <c r="T33" s="719"/>
      <c r="U33" s="749">
        <f>G33</f>
        <v>14</v>
      </c>
      <c r="V33" s="749">
        <f>180</f>
        <v>180</v>
      </c>
      <c r="W33" s="749">
        <f t="shared" si="18"/>
        <v>2520</v>
      </c>
      <c r="X33" s="720"/>
      <c r="Y33" s="720"/>
      <c r="Z33" s="720"/>
      <c r="AA33" s="720"/>
      <c r="AB33" s="720"/>
    </row>
    <row r="34" spans="1:28" ht="21.75" customHeight="1" thickBot="1">
      <c r="A34" s="912" t="s">
        <v>1346</v>
      </c>
      <c r="B34" s="733" t="s">
        <v>779</v>
      </c>
      <c r="C34" s="744">
        <f>3*4*7</f>
        <v>84</v>
      </c>
      <c r="D34" s="735">
        <f t="shared" si="19"/>
        <v>180</v>
      </c>
      <c r="E34" s="735">
        <f t="shared" si="15"/>
        <v>15120</v>
      </c>
      <c r="F34" s="764" t="s">
        <v>779</v>
      </c>
      <c r="G34" s="765">
        <f>C34/4</f>
        <v>21</v>
      </c>
      <c r="H34" s="735">
        <f t="shared" si="20"/>
        <v>180</v>
      </c>
      <c r="I34" s="765">
        <f t="shared" si="16"/>
        <v>3780</v>
      </c>
      <c r="J34" s="719"/>
      <c r="K34" s="725"/>
      <c r="L34" s="719"/>
      <c r="M34" s="719"/>
      <c r="N34" s="719"/>
      <c r="O34" s="719"/>
      <c r="P34" s="748">
        <f>0</f>
        <v>0</v>
      </c>
      <c r="Q34" s="748">
        <f>0</f>
        <v>0</v>
      </c>
      <c r="R34" s="751">
        <f>('[2]Bank XOF'!G117+'[2]Bank XOF'!G118+'[2]Bank XOF'!G119)/655.957+[2]Details!C71+[2]Details!C79</f>
        <v>10583.998646252727</v>
      </c>
      <c r="S34" s="751">
        <f t="shared" si="17"/>
        <v>10583.998646252727</v>
      </c>
      <c r="T34" s="719"/>
      <c r="U34" s="750">
        <f>G34*2</f>
        <v>42</v>
      </c>
      <c r="V34" s="749">
        <f>180</f>
        <v>180</v>
      </c>
      <c r="W34" s="749">
        <f t="shared" si="18"/>
        <v>7560</v>
      </c>
      <c r="X34" s="720"/>
      <c r="Y34" s="720"/>
      <c r="Z34" s="720"/>
      <c r="AA34" s="720"/>
      <c r="AB34" s="720"/>
    </row>
    <row r="35" spans="1:28" ht="26.25" customHeight="1" thickBot="1">
      <c r="A35" s="912" t="s">
        <v>1347</v>
      </c>
      <c r="B35" s="733" t="s">
        <v>779</v>
      </c>
      <c r="C35" s="744">
        <f>2*7*4</f>
        <v>56</v>
      </c>
      <c r="D35" s="735">
        <f t="shared" si="19"/>
        <v>180</v>
      </c>
      <c r="E35" s="735">
        <f t="shared" si="15"/>
        <v>10080</v>
      </c>
      <c r="F35" s="764" t="s">
        <v>779</v>
      </c>
      <c r="G35" s="765">
        <f>C35/4</f>
        <v>14</v>
      </c>
      <c r="H35" s="735">
        <f t="shared" si="20"/>
        <v>180</v>
      </c>
      <c r="I35" s="765">
        <f t="shared" si="16"/>
        <v>2520</v>
      </c>
      <c r="J35" s="719"/>
      <c r="K35" s="725"/>
      <c r="L35" s="719"/>
      <c r="M35" s="719"/>
      <c r="N35" s="719"/>
      <c r="O35" s="719"/>
      <c r="P35" s="748">
        <f>0</f>
        <v>0</v>
      </c>
      <c r="Q35" s="748">
        <f>0</f>
        <v>0</v>
      </c>
      <c r="R35" s="751">
        <f>0</f>
        <v>0</v>
      </c>
      <c r="S35" s="751">
        <f t="shared" si="17"/>
        <v>0</v>
      </c>
      <c r="T35" s="719"/>
      <c r="U35" s="749">
        <f>G35</f>
        <v>14</v>
      </c>
      <c r="V35" s="749">
        <f>180</f>
        <v>180</v>
      </c>
      <c r="W35" s="749">
        <f t="shared" si="18"/>
        <v>2520</v>
      </c>
      <c r="X35" s="720"/>
      <c r="Y35" s="720"/>
      <c r="Z35" s="720"/>
      <c r="AA35" s="720"/>
      <c r="AB35" s="720"/>
    </row>
    <row r="36" spans="1:28" ht="12.75" customHeight="1" thickBot="1">
      <c r="A36" s="914"/>
      <c r="B36" s="733"/>
      <c r="C36" s="734"/>
      <c r="D36" s="735"/>
      <c r="E36" s="737"/>
      <c r="F36" s="745"/>
      <c r="G36" s="735"/>
      <c r="H36" s="735"/>
      <c r="I36" s="737"/>
      <c r="J36" s="719"/>
      <c r="K36" s="725"/>
      <c r="L36" s="719"/>
      <c r="M36" s="719"/>
      <c r="N36" s="719"/>
      <c r="O36" s="719"/>
      <c r="P36" s="748"/>
      <c r="Q36" s="748"/>
      <c r="R36" s="719"/>
      <c r="S36" s="719"/>
      <c r="T36" s="719"/>
      <c r="U36" s="719"/>
      <c r="V36" s="751"/>
      <c r="W36" s="751"/>
      <c r="X36" s="720"/>
      <c r="Y36" s="720"/>
      <c r="Z36" s="720"/>
      <c r="AA36" s="720"/>
      <c r="AB36" s="720"/>
    </row>
    <row r="37" spans="1:28" ht="13.5" customHeight="1" thickBot="1">
      <c r="A37" s="913" t="s">
        <v>1348</v>
      </c>
      <c r="B37" s="756" t="s">
        <v>779</v>
      </c>
      <c r="C37" s="734"/>
      <c r="D37" s="735"/>
      <c r="E37" s="735"/>
      <c r="F37" s="745"/>
      <c r="G37" s="735"/>
      <c r="H37" s="735"/>
      <c r="I37" s="737">
        <f>0</f>
        <v>0</v>
      </c>
      <c r="J37" s="737">
        <f>0</f>
        <v>0</v>
      </c>
      <c r="K37" s="737">
        <f>0</f>
        <v>0</v>
      </c>
      <c r="L37" s="737">
        <f>0</f>
        <v>0</v>
      </c>
      <c r="M37" s="737">
        <f>0</f>
        <v>0</v>
      </c>
      <c r="N37" s="737">
        <f>0</f>
        <v>0</v>
      </c>
      <c r="O37" s="737">
        <f>0</f>
        <v>0</v>
      </c>
      <c r="P37" s="737">
        <f>0</f>
        <v>0</v>
      </c>
      <c r="Q37" s="737">
        <f>0</f>
        <v>0</v>
      </c>
      <c r="R37" s="737">
        <f>0</f>
        <v>0</v>
      </c>
      <c r="S37" s="737">
        <f>0</f>
        <v>0</v>
      </c>
      <c r="T37" s="737">
        <f>0</f>
        <v>0</v>
      </c>
      <c r="U37" s="737">
        <f>0</f>
        <v>0</v>
      </c>
      <c r="V37" s="737">
        <f>0</f>
        <v>0</v>
      </c>
      <c r="W37" s="737">
        <f>0</f>
        <v>0</v>
      </c>
      <c r="X37" s="720"/>
      <c r="Y37" s="720"/>
      <c r="Z37" s="720"/>
      <c r="AA37" s="720"/>
      <c r="AB37" s="720"/>
    </row>
    <row r="38" spans="1:28" ht="13.5" customHeight="1" thickBot="1">
      <c r="A38" s="913" t="s">
        <v>1349</v>
      </c>
      <c r="B38" s="756" t="s">
        <v>779</v>
      </c>
      <c r="C38" s="734"/>
      <c r="D38" s="735"/>
      <c r="E38" s="737">
        <f>SUM(E39:E41)</f>
        <v>126520</v>
      </c>
      <c r="F38" s="737"/>
      <c r="G38" s="737"/>
      <c r="H38" s="737"/>
      <c r="I38" s="737">
        <f>SUM(I39:I41)</f>
        <v>25760</v>
      </c>
      <c r="J38" s="737">
        <f t="shared" ref="J38:W38" si="21">SUM(J39:J41)</f>
        <v>0</v>
      </c>
      <c r="K38" s="737">
        <f t="shared" si="21"/>
        <v>0</v>
      </c>
      <c r="L38" s="737">
        <f t="shared" si="21"/>
        <v>0</v>
      </c>
      <c r="M38" s="737">
        <f t="shared" si="21"/>
        <v>0</v>
      </c>
      <c r="N38" s="737">
        <f t="shared" si="21"/>
        <v>0</v>
      </c>
      <c r="O38" s="737">
        <f t="shared" si="21"/>
        <v>0</v>
      </c>
      <c r="P38" s="737">
        <f t="shared" si="21"/>
        <v>0</v>
      </c>
      <c r="Q38" s="737">
        <f t="shared" si="21"/>
        <v>0</v>
      </c>
      <c r="R38" s="737">
        <f t="shared" si="21"/>
        <v>0</v>
      </c>
      <c r="S38" s="737">
        <f t="shared" si="21"/>
        <v>0</v>
      </c>
      <c r="T38" s="737">
        <f t="shared" si="21"/>
        <v>0</v>
      </c>
      <c r="U38" s="737">
        <f t="shared" si="21"/>
        <v>72</v>
      </c>
      <c r="V38" s="737">
        <f t="shared" si="21"/>
        <v>680</v>
      </c>
      <c r="W38" s="737">
        <f t="shared" si="21"/>
        <v>15760</v>
      </c>
      <c r="X38" s="720"/>
      <c r="Y38" s="720"/>
      <c r="Z38" s="720"/>
      <c r="AA38" s="720"/>
      <c r="AB38" s="720"/>
    </row>
    <row r="39" spans="1:28" ht="27.75" customHeight="1" thickBot="1">
      <c r="A39" s="914" t="s">
        <v>1350</v>
      </c>
      <c r="B39" s="733" t="s">
        <v>779</v>
      </c>
      <c r="C39" s="744">
        <f>4*(3+2)*15</f>
        <v>300</v>
      </c>
      <c r="D39" s="735">
        <f>250</f>
        <v>250</v>
      </c>
      <c r="E39" s="735">
        <f>C39*D39</f>
        <v>75000</v>
      </c>
      <c r="F39" s="745" t="s">
        <v>779</v>
      </c>
      <c r="G39" s="735">
        <f>40</f>
        <v>40</v>
      </c>
      <c r="H39" s="735">
        <f>D39</f>
        <v>250</v>
      </c>
      <c r="I39" s="735">
        <f>G39*H39</f>
        <v>10000</v>
      </c>
      <c r="J39" s="719"/>
      <c r="K39" s="725"/>
      <c r="L39" s="719"/>
      <c r="M39" s="719"/>
      <c r="N39" s="719"/>
      <c r="O39" s="719"/>
      <c r="P39" s="748">
        <f>0</f>
        <v>0</v>
      </c>
      <c r="Q39" s="748">
        <f>0</f>
        <v>0</v>
      </c>
      <c r="R39" s="751">
        <f>0</f>
        <v>0</v>
      </c>
      <c r="S39" s="751">
        <f>P39+Q39+R39</f>
        <v>0</v>
      </c>
      <c r="T39" s="719"/>
      <c r="U39" s="749">
        <f t="shared" ref="U39:V41" si="22">G39</f>
        <v>40</v>
      </c>
      <c r="V39" s="749">
        <f t="shared" si="22"/>
        <v>250</v>
      </c>
      <c r="W39" s="749">
        <f>U39*V39</f>
        <v>10000</v>
      </c>
      <c r="X39" s="720"/>
      <c r="Y39" s="720"/>
      <c r="Z39" s="720"/>
      <c r="AA39" s="720"/>
      <c r="AB39" s="720"/>
    </row>
    <row r="40" spans="1:28" ht="33" customHeight="1" thickBot="1">
      <c r="A40" s="914" t="s">
        <v>1351</v>
      </c>
      <c r="B40" s="733" t="s">
        <v>779</v>
      </c>
      <c r="C40" s="744">
        <f>2*8*4</f>
        <v>64</v>
      </c>
      <c r="D40" s="735">
        <f>D35</f>
        <v>180</v>
      </c>
      <c r="E40" s="735">
        <f>C40*D40</f>
        <v>11520</v>
      </c>
      <c r="F40" s="745" t="s">
        <v>779</v>
      </c>
      <c r="G40" s="735">
        <f>C40/2</f>
        <v>32</v>
      </c>
      <c r="H40" s="735">
        <f>D40</f>
        <v>180</v>
      </c>
      <c r="I40" s="735">
        <f>G40*H40</f>
        <v>5760</v>
      </c>
      <c r="J40" s="719"/>
      <c r="K40" s="725"/>
      <c r="L40" s="719"/>
      <c r="M40" s="719"/>
      <c r="N40" s="719"/>
      <c r="O40" s="719"/>
      <c r="P40" s="748">
        <f>0</f>
        <v>0</v>
      </c>
      <c r="Q40" s="748">
        <f>0</f>
        <v>0</v>
      </c>
      <c r="R40" s="751">
        <f>0</f>
        <v>0</v>
      </c>
      <c r="S40" s="751">
        <f>P40+Q40+R40</f>
        <v>0</v>
      </c>
      <c r="T40" s="719"/>
      <c r="U40" s="749">
        <f t="shared" si="22"/>
        <v>32</v>
      </c>
      <c r="V40" s="749">
        <f t="shared" si="22"/>
        <v>180</v>
      </c>
      <c r="W40" s="749">
        <f>U40*V40</f>
        <v>5760</v>
      </c>
      <c r="X40" s="720"/>
      <c r="Y40" s="720"/>
      <c r="Z40" s="720"/>
      <c r="AA40" s="720"/>
      <c r="AB40" s="720"/>
    </row>
    <row r="41" spans="1:28" ht="38.450000000000003" customHeight="1" thickBot="1">
      <c r="A41" s="914" t="s">
        <v>1352</v>
      </c>
      <c r="B41" s="733" t="s">
        <v>793</v>
      </c>
      <c r="C41" s="744">
        <f>2*20*(1+1+2)</f>
        <v>160</v>
      </c>
      <c r="D41" s="735">
        <f>D39</f>
        <v>250</v>
      </c>
      <c r="E41" s="735">
        <f>D41*C41</f>
        <v>40000</v>
      </c>
      <c r="F41" s="745" t="s">
        <v>779</v>
      </c>
      <c r="G41" s="735">
        <f>40</f>
        <v>40</v>
      </c>
      <c r="H41" s="735">
        <f>D41</f>
        <v>250</v>
      </c>
      <c r="I41" s="735">
        <f>H41*G41</f>
        <v>10000</v>
      </c>
      <c r="J41" s="719"/>
      <c r="K41" s="725"/>
      <c r="L41" s="719"/>
      <c r="M41" s="719"/>
      <c r="N41" s="719"/>
      <c r="O41" s="719"/>
      <c r="P41" s="748">
        <f>0</f>
        <v>0</v>
      </c>
      <c r="Q41" s="748">
        <f>0</f>
        <v>0</v>
      </c>
      <c r="R41" s="751">
        <f>0</f>
        <v>0</v>
      </c>
      <c r="S41" s="751">
        <f>P41+Q41+R41</f>
        <v>0</v>
      </c>
      <c r="T41" s="719"/>
      <c r="U41" s="749">
        <v>0</v>
      </c>
      <c r="V41" s="749">
        <f t="shared" si="22"/>
        <v>250</v>
      </c>
      <c r="W41" s="749">
        <f>U41*V41</f>
        <v>0</v>
      </c>
      <c r="X41" s="720"/>
      <c r="Y41" s="720"/>
      <c r="Z41" s="720"/>
      <c r="AA41" s="720"/>
      <c r="AB41" s="720"/>
    </row>
    <row r="42" spans="1:28" ht="19.5" customHeight="1" thickBot="1">
      <c r="A42" s="915" t="s">
        <v>1353</v>
      </c>
      <c r="B42" s="770"/>
      <c r="C42" s="771"/>
      <c r="D42" s="772"/>
      <c r="E42" s="772">
        <f>E26+E13+E5</f>
        <v>2689231.0872425581</v>
      </c>
      <c r="F42" s="772"/>
      <c r="G42" s="772"/>
      <c r="H42" s="772"/>
      <c r="I42" s="772">
        <f>I26+I13+I5</f>
        <v>891729.22451469151</v>
      </c>
      <c r="J42" s="772">
        <f t="shared" ref="J42:W42" si="23">J26+J13+J5</f>
        <v>0</v>
      </c>
      <c r="K42" s="772">
        <f t="shared" si="23"/>
        <v>72482.709318889334</v>
      </c>
      <c r="L42" s="772">
        <f t="shared" si="23"/>
        <v>18500.3907</v>
      </c>
      <c r="M42" s="772">
        <f t="shared" si="23"/>
        <v>9924.950887500001</v>
      </c>
      <c r="N42" s="772">
        <f t="shared" si="23"/>
        <v>655.95699999999999</v>
      </c>
      <c r="O42" s="772">
        <f t="shared" si="23"/>
        <v>0</v>
      </c>
      <c r="P42" s="772">
        <f t="shared" si="23"/>
        <v>0</v>
      </c>
      <c r="Q42" s="772">
        <f t="shared" si="23"/>
        <v>102437.52258151068</v>
      </c>
      <c r="R42" s="772">
        <f t="shared" si="23"/>
        <v>144668.57583652588</v>
      </c>
      <c r="S42" s="772">
        <f t="shared" si="23"/>
        <v>247106.09841803653</v>
      </c>
      <c r="T42" s="772">
        <f t="shared" si="23"/>
        <v>0</v>
      </c>
      <c r="U42" s="772">
        <f t="shared" si="23"/>
        <v>480.2</v>
      </c>
      <c r="V42" s="772">
        <f t="shared" si="23"/>
        <v>65740.102160848997</v>
      </c>
      <c r="W42" s="772">
        <f t="shared" si="23"/>
        <v>733724.65332708287</v>
      </c>
      <c r="X42" s="720"/>
      <c r="Y42" s="720"/>
      <c r="Z42" s="720"/>
      <c r="AA42" s="720"/>
      <c r="AB42" s="720"/>
    </row>
    <row r="43" spans="1:28" ht="15.75" customHeight="1" thickBot="1">
      <c r="A43" s="916" t="s">
        <v>1354</v>
      </c>
      <c r="B43" s="774"/>
      <c r="C43" s="775"/>
      <c r="D43" s="776"/>
      <c r="E43" s="776"/>
      <c r="F43" s="777"/>
      <c r="G43" s="776"/>
      <c r="H43" s="776"/>
      <c r="I43" s="776"/>
      <c r="J43" s="776"/>
      <c r="K43" s="776"/>
      <c r="L43" s="776"/>
      <c r="M43" s="776"/>
      <c r="N43" s="776"/>
      <c r="O43" s="776"/>
      <c r="P43" s="776"/>
      <c r="Q43" s="776"/>
      <c r="R43" s="776"/>
      <c r="S43" s="776"/>
      <c r="T43" s="776"/>
      <c r="U43" s="776"/>
      <c r="V43" s="776"/>
      <c r="W43" s="776"/>
      <c r="X43" s="720"/>
      <c r="Y43" s="720"/>
      <c r="Z43" s="720"/>
      <c r="AA43" s="720"/>
      <c r="AB43" s="720"/>
    </row>
    <row r="44" spans="1:28" ht="12.75" customHeight="1" thickBot="1">
      <c r="A44" s="913"/>
      <c r="B44" s="756"/>
      <c r="C44" s="762"/>
      <c r="D44" s="737"/>
      <c r="E44" s="737"/>
      <c r="F44" s="727"/>
      <c r="G44" s="737"/>
      <c r="H44" s="737"/>
      <c r="I44" s="737"/>
      <c r="J44" s="719"/>
      <c r="K44" s="725"/>
      <c r="L44" s="719"/>
      <c r="M44" s="719"/>
      <c r="N44" s="719"/>
      <c r="O44" s="719"/>
      <c r="P44" s="748"/>
      <c r="Q44" s="748"/>
      <c r="R44" s="719"/>
      <c r="S44" s="719"/>
      <c r="T44" s="719"/>
      <c r="U44" s="719"/>
      <c r="V44" s="719"/>
      <c r="W44" s="719"/>
      <c r="X44" s="720"/>
      <c r="Y44" s="720"/>
      <c r="Z44" s="720"/>
      <c r="AA44" s="720"/>
      <c r="AB44" s="720"/>
    </row>
    <row r="45" spans="1:28" ht="13.5" customHeight="1" thickBot="1">
      <c r="A45" s="917" t="s">
        <v>1355</v>
      </c>
      <c r="B45" s="756" t="s">
        <v>796</v>
      </c>
      <c r="C45" s="734"/>
      <c r="D45" s="735"/>
      <c r="E45" s="737">
        <f>SUM(E46:E55)</f>
        <v>198000</v>
      </c>
      <c r="F45" s="737"/>
      <c r="G45" s="737"/>
      <c r="H45" s="737"/>
      <c r="I45" s="737">
        <f>SUM(I46:I55)</f>
        <v>78000</v>
      </c>
      <c r="J45" s="737">
        <f t="shared" ref="J45:W45" si="24">SUM(J46:J55)</f>
        <v>0</v>
      </c>
      <c r="K45" s="737">
        <f t="shared" si="24"/>
        <v>0</v>
      </c>
      <c r="L45" s="737">
        <f t="shared" si="24"/>
        <v>0</v>
      </c>
      <c r="M45" s="737">
        <f t="shared" si="24"/>
        <v>0</v>
      </c>
      <c r="N45" s="737">
        <f t="shared" si="24"/>
        <v>0</v>
      </c>
      <c r="O45" s="737">
        <f t="shared" si="24"/>
        <v>0</v>
      </c>
      <c r="P45" s="737">
        <f t="shared" si="24"/>
        <v>0</v>
      </c>
      <c r="Q45" s="737">
        <f t="shared" si="24"/>
        <v>0</v>
      </c>
      <c r="R45" s="737">
        <f t="shared" si="24"/>
        <v>6644.674879603388</v>
      </c>
      <c r="S45" s="737">
        <f t="shared" si="24"/>
        <v>6644.674879603388</v>
      </c>
      <c r="T45" s="737">
        <f t="shared" si="24"/>
        <v>0</v>
      </c>
      <c r="U45" s="737">
        <f t="shared" si="24"/>
        <v>61</v>
      </c>
      <c r="V45" s="737">
        <f t="shared" si="24"/>
        <v>10000</v>
      </c>
      <c r="W45" s="737">
        <f t="shared" si="24"/>
        <v>61000</v>
      </c>
      <c r="X45" s="720"/>
      <c r="Y45" s="720"/>
      <c r="Z45" s="720"/>
      <c r="AA45" s="720"/>
      <c r="AB45" s="720"/>
    </row>
    <row r="46" spans="1:28" ht="23.45" customHeight="1" thickBot="1">
      <c r="A46" s="912" t="s">
        <v>1356</v>
      </c>
      <c r="B46" s="733" t="s">
        <v>796</v>
      </c>
      <c r="C46" s="734">
        <f>15</f>
        <v>15</v>
      </c>
      <c r="D46" s="735">
        <f>1000</f>
        <v>1000</v>
      </c>
      <c r="E46" s="737">
        <f t="shared" ref="E46:E55" si="25">C46*D46</f>
        <v>15000</v>
      </c>
      <c r="F46" s="736" t="s">
        <v>1437</v>
      </c>
      <c r="G46" s="735">
        <f>C46</f>
        <v>15</v>
      </c>
      <c r="H46" s="735">
        <f>D46</f>
        <v>1000</v>
      </c>
      <c r="I46" s="735">
        <f t="shared" ref="I46:I55" si="26">G46*H46</f>
        <v>15000</v>
      </c>
      <c r="J46" s="719"/>
      <c r="K46" s="725"/>
      <c r="L46" s="719"/>
      <c r="M46" s="719"/>
      <c r="N46" s="719"/>
      <c r="O46" s="719"/>
      <c r="P46" s="748">
        <f>0</f>
        <v>0</v>
      </c>
      <c r="Q46" s="748">
        <f>P46</f>
        <v>0</v>
      </c>
      <c r="R46" s="751">
        <f>0</f>
        <v>0</v>
      </c>
      <c r="S46" s="751">
        <f>P46+Q46+R46</f>
        <v>0</v>
      </c>
      <c r="T46" s="719"/>
      <c r="U46" s="749">
        <v>10</v>
      </c>
      <c r="V46" s="749">
        <f>H46</f>
        <v>1000</v>
      </c>
      <c r="W46" s="749">
        <f>U46*V46</f>
        <v>10000</v>
      </c>
      <c r="X46" s="720"/>
      <c r="Y46" s="720"/>
      <c r="Z46" s="720"/>
      <c r="AA46" s="720"/>
      <c r="AB46" s="720"/>
    </row>
    <row r="47" spans="1:28" ht="23.45" customHeight="1" thickBot="1">
      <c r="A47" s="912" t="s">
        <v>1357</v>
      </c>
      <c r="B47" s="733" t="s">
        <v>796</v>
      </c>
      <c r="C47" s="734">
        <f>C46</f>
        <v>15</v>
      </c>
      <c r="D47" s="735">
        <f>D46</f>
        <v>1000</v>
      </c>
      <c r="E47" s="737">
        <f t="shared" si="25"/>
        <v>15000</v>
      </c>
      <c r="F47" s="736" t="s">
        <v>1437</v>
      </c>
      <c r="G47" s="735">
        <f>G46</f>
        <v>15</v>
      </c>
      <c r="H47" s="735">
        <f>H46</f>
        <v>1000</v>
      </c>
      <c r="I47" s="735">
        <f t="shared" si="26"/>
        <v>15000</v>
      </c>
      <c r="J47" s="719"/>
      <c r="K47" s="725"/>
      <c r="L47" s="719"/>
      <c r="M47" s="719"/>
      <c r="N47" s="719"/>
      <c r="O47" s="719"/>
      <c r="P47" s="748">
        <f>0</f>
        <v>0</v>
      </c>
      <c r="Q47" s="748">
        <f t="shared" ref="Q47:Q54" si="27">P47</f>
        <v>0</v>
      </c>
      <c r="R47" s="751">
        <f>0</f>
        <v>0</v>
      </c>
      <c r="S47" s="751">
        <f t="shared" ref="S47:S55" si="28">P47+Q47+R47</f>
        <v>0</v>
      </c>
      <c r="T47" s="719"/>
      <c r="U47" s="749">
        <v>10</v>
      </c>
      <c r="V47" s="749">
        <f t="shared" ref="V47:V55" si="29">H47</f>
        <v>1000</v>
      </c>
      <c r="W47" s="749">
        <f t="shared" ref="W47:W55" si="30">U47*V47</f>
        <v>10000</v>
      </c>
      <c r="X47" s="720"/>
      <c r="Y47" s="720"/>
      <c r="Z47" s="720"/>
      <c r="AA47" s="720"/>
      <c r="AB47" s="720"/>
    </row>
    <row r="48" spans="1:28" ht="31.15" customHeight="1" thickBot="1">
      <c r="A48" s="912" t="s">
        <v>1358</v>
      </c>
      <c r="B48" s="733" t="s">
        <v>796</v>
      </c>
      <c r="C48" s="734">
        <f>2*2</f>
        <v>4</v>
      </c>
      <c r="D48" s="735">
        <f t="shared" ref="D48:D53" si="31">D47</f>
        <v>1000</v>
      </c>
      <c r="E48" s="737">
        <f t="shared" si="25"/>
        <v>4000</v>
      </c>
      <c r="F48" s="736" t="s">
        <v>1437</v>
      </c>
      <c r="G48" s="735">
        <f>C48/2</f>
        <v>2</v>
      </c>
      <c r="H48" s="735">
        <f>D48</f>
        <v>1000</v>
      </c>
      <c r="I48" s="735">
        <f t="shared" si="26"/>
        <v>2000</v>
      </c>
      <c r="J48" s="719"/>
      <c r="K48" s="725"/>
      <c r="L48" s="719"/>
      <c r="M48" s="719"/>
      <c r="N48" s="719"/>
      <c r="O48" s="719"/>
      <c r="P48" s="748">
        <f>0</f>
        <v>0</v>
      </c>
      <c r="Q48" s="748">
        <f t="shared" si="27"/>
        <v>0</v>
      </c>
      <c r="R48" s="751">
        <f>0</f>
        <v>0</v>
      </c>
      <c r="S48" s="751">
        <f t="shared" si="28"/>
        <v>0</v>
      </c>
      <c r="T48" s="719"/>
      <c r="U48" s="749">
        <f t="shared" ref="U48:U55" si="32">G48</f>
        <v>2</v>
      </c>
      <c r="V48" s="749">
        <f t="shared" si="29"/>
        <v>1000</v>
      </c>
      <c r="W48" s="749">
        <f t="shared" si="30"/>
        <v>2000</v>
      </c>
      <c r="X48" s="720"/>
      <c r="Y48" s="720"/>
      <c r="Z48" s="720"/>
      <c r="AA48" s="720"/>
      <c r="AB48" s="720"/>
    </row>
    <row r="49" spans="1:28" ht="35.450000000000003" customHeight="1" thickBot="1">
      <c r="A49" s="912" t="s">
        <v>1359</v>
      </c>
      <c r="B49" s="733" t="s">
        <v>796</v>
      </c>
      <c r="C49" s="734">
        <f>5*4*4</f>
        <v>80</v>
      </c>
      <c r="D49" s="735">
        <f t="shared" si="31"/>
        <v>1000</v>
      </c>
      <c r="E49" s="737">
        <f t="shared" si="25"/>
        <v>80000</v>
      </c>
      <c r="F49" s="736" t="s">
        <v>1437</v>
      </c>
      <c r="G49" s="735">
        <f t="shared" ref="G49:G54" si="33">C49/4</f>
        <v>20</v>
      </c>
      <c r="H49" s="735">
        <f>D49</f>
        <v>1000</v>
      </c>
      <c r="I49" s="735">
        <f t="shared" si="26"/>
        <v>20000</v>
      </c>
      <c r="J49" s="719"/>
      <c r="K49" s="725"/>
      <c r="L49" s="719"/>
      <c r="M49" s="719"/>
      <c r="N49" s="719"/>
      <c r="O49" s="719"/>
      <c r="P49" s="748">
        <f>0</f>
        <v>0</v>
      </c>
      <c r="Q49" s="748">
        <f t="shared" si="27"/>
        <v>0</v>
      </c>
      <c r="R49" s="751">
        <f>0</f>
        <v>0</v>
      </c>
      <c r="S49" s="751">
        <f t="shared" si="28"/>
        <v>0</v>
      </c>
      <c r="T49" s="719"/>
      <c r="U49" s="749">
        <v>10</v>
      </c>
      <c r="V49" s="749">
        <f t="shared" si="29"/>
        <v>1000</v>
      </c>
      <c r="W49" s="749">
        <f t="shared" si="30"/>
        <v>10000</v>
      </c>
      <c r="X49" s="720"/>
      <c r="Y49" s="720"/>
      <c r="Z49" s="720"/>
      <c r="AA49" s="720"/>
      <c r="AB49" s="720"/>
    </row>
    <row r="50" spans="1:28" ht="32.450000000000003" customHeight="1" thickBot="1">
      <c r="A50" s="912" t="s">
        <v>1360</v>
      </c>
      <c r="B50" s="733" t="s">
        <v>796</v>
      </c>
      <c r="C50" s="734">
        <f>2*4</f>
        <v>8</v>
      </c>
      <c r="D50" s="735">
        <f t="shared" si="31"/>
        <v>1000</v>
      </c>
      <c r="E50" s="737">
        <f t="shared" si="25"/>
        <v>8000</v>
      </c>
      <c r="F50" s="736" t="s">
        <v>1437</v>
      </c>
      <c r="G50" s="735">
        <f t="shared" si="33"/>
        <v>2</v>
      </c>
      <c r="H50" s="735">
        <f>D50</f>
        <v>1000</v>
      </c>
      <c r="I50" s="735">
        <f t="shared" si="26"/>
        <v>2000</v>
      </c>
      <c r="J50" s="719"/>
      <c r="K50" s="725"/>
      <c r="L50" s="719"/>
      <c r="M50" s="719"/>
      <c r="N50" s="719"/>
      <c r="O50" s="719"/>
      <c r="P50" s="748">
        <f>0</f>
        <v>0</v>
      </c>
      <c r="Q50" s="748">
        <f t="shared" si="27"/>
        <v>0</v>
      </c>
      <c r="R50" s="751">
        <f>0</f>
        <v>0</v>
      </c>
      <c r="S50" s="751">
        <f t="shared" si="28"/>
        <v>0</v>
      </c>
      <c r="T50" s="719"/>
      <c r="U50" s="749">
        <f t="shared" si="32"/>
        <v>2</v>
      </c>
      <c r="V50" s="749">
        <f t="shared" si="29"/>
        <v>1000</v>
      </c>
      <c r="W50" s="749">
        <f t="shared" si="30"/>
        <v>2000</v>
      </c>
      <c r="X50" s="720"/>
      <c r="Y50" s="720"/>
      <c r="Z50" s="720"/>
      <c r="AA50" s="720"/>
      <c r="AB50" s="720"/>
    </row>
    <row r="51" spans="1:28" ht="24.6" customHeight="1" thickBot="1">
      <c r="A51" s="912" t="s">
        <v>1361</v>
      </c>
      <c r="B51" s="733" t="s">
        <v>796</v>
      </c>
      <c r="C51" s="734">
        <f>4*2</f>
        <v>8</v>
      </c>
      <c r="D51" s="735">
        <f t="shared" si="31"/>
        <v>1000</v>
      </c>
      <c r="E51" s="737">
        <f t="shared" si="25"/>
        <v>8000</v>
      </c>
      <c r="F51" s="736" t="s">
        <v>1437</v>
      </c>
      <c r="G51" s="735">
        <f t="shared" si="33"/>
        <v>2</v>
      </c>
      <c r="H51" s="735">
        <f>H50</f>
        <v>1000</v>
      </c>
      <c r="I51" s="735">
        <f t="shared" si="26"/>
        <v>2000</v>
      </c>
      <c r="J51" s="719"/>
      <c r="K51" s="725"/>
      <c r="L51" s="719"/>
      <c r="M51" s="719"/>
      <c r="N51" s="719"/>
      <c r="O51" s="719"/>
      <c r="P51" s="748">
        <f>0</f>
        <v>0</v>
      </c>
      <c r="Q51" s="748">
        <f t="shared" si="27"/>
        <v>0</v>
      </c>
      <c r="R51" s="751">
        <f>0</f>
        <v>0</v>
      </c>
      <c r="S51" s="751">
        <f t="shared" si="28"/>
        <v>0</v>
      </c>
      <c r="T51" s="719"/>
      <c r="U51" s="749">
        <f t="shared" si="32"/>
        <v>2</v>
      </c>
      <c r="V51" s="749">
        <f t="shared" si="29"/>
        <v>1000</v>
      </c>
      <c r="W51" s="749">
        <f t="shared" si="30"/>
        <v>2000</v>
      </c>
      <c r="X51" s="720"/>
      <c r="Y51" s="720"/>
      <c r="Z51" s="720"/>
      <c r="AA51" s="720"/>
      <c r="AB51" s="720"/>
    </row>
    <row r="52" spans="1:28" ht="27" customHeight="1" thickBot="1">
      <c r="A52" s="912" t="s">
        <v>1362</v>
      </c>
      <c r="B52" s="733" t="s">
        <v>796</v>
      </c>
      <c r="C52" s="734">
        <f>3*4</f>
        <v>12</v>
      </c>
      <c r="D52" s="735">
        <f t="shared" si="31"/>
        <v>1000</v>
      </c>
      <c r="E52" s="737">
        <f t="shared" si="25"/>
        <v>12000</v>
      </c>
      <c r="F52" s="736" t="s">
        <v>1437</v>
      </c>
      <c r="G52" s="735">
        <f t="shared" si="33"/>
        <v>3</v>
      </c>
      <c r="H52" s="735">
        <f>D52</f>
        <v>1000</v>
      </c>
      <c r="I52" s="735">
        <f t="shared" si="26"/>
        <v>3000</v>
      </c>
      <c r="J52" s="719"/>
      <c r="K52" s="725"/>
      <c r="L52" s="719"/>
      <c r="M52" s="719"/>
      <c r="N52" s="719"/>
      <c r="O52" s="719"/>
      <c r="P52" s="748">
        <f>0</f>
        <v>0</v>
      </c>
      <c r="Q52" s="748">
        <f t="shared" si="27"/>
        <v>0</v>
      </c>
      <c r="R52" s="735">
        <f>'[2]Bank XOF'!G121/655.957+'[2]Bank XOF'!G170/655.957+'[2]Bank XOF'!G216/655.957</f>
        <v>6644.674879603388</v>
      </c>
      <c r="S52" s="748">
        <f t="shared" si="28"/>
        <v>6644.674879603388</v>
      </c>
      <c r="T52" s="719"/>
      <c r="U52" s="749">
        <f>G52*2</f>
        <v>6</v>
      </c>
      <c r="V52" s="749">
        <f t="shared" si="29"/>
        <v>1000</v>
      </c>
      <c r="W52" s="749">
        <f t="shared" si="30"/>
        <v>6000</v>
      </c>
      <c r="X52" s="720"/>
      <c r="Y52" s="720"/>
      <c r="Z52" s="720"/>
      <c r="AA52" s="720"/>
      <c r="AB52" s="720"/>
    </row>
    <row r="53" spans="1:28" ht="27.6" customHeight="1" thickBot="1">
      <c r="A53" s="912" t="s">
        <v>1363</v>
      </c>
      <c r="B53" s="733" t="s">
        <v>796</v>
      </c>
      <c r="C53" s="734">
        <f>2*2*2</f>
        <v>8</v>
      </c>
      <c r="D53" s="735">
        <f t="shared" si="31"/>
        <v>1000</v>
      </c>
      <c r="E53" s="737">
        <f t="shared" si="25"/>
        <v>8000</v>
      </c>
      <c r="F53" s="736" t="s">
        <v>1437</v>
      </c>
      <c r="G53" s="735">
        <f t="shared" si="33"/>
        <v>2</v>
      </c>
      <c r="H53" s="735">
        <f>D53</f>
        <v>1000</v>
      </c>
      <c r="I53" s="735">
        <f t="shared" si="26"/>
        <v>2000</v>
      </c>
      <c r="J53" s="719"/>
      <c r="K53" s="725"/>
      <c r="L53" s="719"/>
      <c r="M53" s="719"/>
      <c r="N53" s="719"/>
      <c r="O53" s="719"/>
      <c r="P53" s="748">
        <f>0</f>
        <v>0</v>
      </c>
      <c r="Q53" s="748">
        <f t="shared" si="27"/>
        <v>0</v>
      </c>
      <c r="R53" s="751">
        <f>0</f>
        <v>0</v>
      </c>
      <c r="S53" s="751">
        <f t="shared" si="28"/>
        <v>0</v>
      </c>
      <c r="T53" s="719"/>
      <c r="U53" s="749">
        <f t="shared" si="32"/>
        <v>2</v>
      </c>
      <c r="V53" s="749">
        <f t="shared" si="29"/>
        <v>1000</v>
      </c>
      <c r="W53" s="749">
        <f t="shared" si="30"/>
        <v>2000</v>
      </c>
      <c r="X53" s="720"/>
      <c r="Y53" s="720"/>
      <c r="Z53" s="720"/>
      <c r="AA53" s="720"/>
      <c r="AB53" s="720"/>
    </row>
    <row r="54" spans="1:28" ht="19.899999999999999" customHeight="1" thickBot="1">
      <c r="A54" s="912" t="s">
        <v>1364</v>
      </c>
      <c r="B54" s="733" t="s">
        <v>805</v>
      </c>
      <c r="C54" s="734">
        <f>3*3*4</f>
        <v>36</v>
      </c>
      <c r="D54" s="735">
        <f>1000</f>
        <v>1000</v>
      </c>
      <c r="E54" s="737">
        <f t="shared" si="25"/>
        <v>36000</v>
      </c>
      <c r="F54" s="736" t="s">
        <v>1438</v>
      </c>
      <c r="G54" s="735">
        <f t="shared" si="33"/>
        <v>9</v>
      </c>
      <c r="H54" s="735">
        <f>D54</f>
        <v>1000</v>
      </c>
      <c r="I54" s="735">
        <f t="shared" si="26"/>
        <v>9000</v>
      </c>
      <c r="J54" s="719"/>
      <c r="K54" s="725"/>
      <c r="L54" s="719"/>
      <c r="M54" s="719"/>
      <c r="N54" s="719"/>
      <c r="O54" s="719"/>
      <c r="P54" s="748">
        <f>0</f>
        <v>0</v>
      </c>
      <c r="Q54" s="748">
        <f t="shared" si="27"/>
        <v>0</v>
      </c>
      <c r="R54" s="751">
        <f>0</f>
        <v>0</v>
      </c>
      <c r="S54" s="751">
        <f t="shared" si="28"/>
        <v>0</v>
      </c>
      <c r="T54" s="719"/>
      <c r="U54" s="749">
        <f t="shared" si="32"/>
        <v>9</v>
      </c>
      <c r="V54" s="749">
        <f t="shared" si="29"/>
        <v>1000</v>
      </c>
      <c r="W54" s="749">
        <f t="shared" si="30"/>
        <v>9000</v>
      </c>
      <c r="X54" s="720"/>
      <c r="Y54" s="720"/>
      <c r="Z54" s="720"/>
      <c r="AA54" s="720"/>
      <c r="AB54" s="720"/>
    </row>
    <row r="55" spans="1:28" ht="29.45" customHeight="1" thickBot="1">
      <c r="A55" s="912" t="s">
        <v>1365</v>
      </c>
      <c r="B55" s="733" t="s">
        <v>805</v>
      </c>
      <c r="C55" s="734">
        <f>12</f>
        <v>12</v>
      </c>
      <c r="D55" s="735">
        <f>1000</f>
        <v>1000</v>
      </c>
      <c r="E55" s="737">
        <f t="shared" si="25"/>
        <v>12000</v>
      </c>
      <c r="F55" s="736" t="s">
        <v>1438</v>
      </c>
      <c r="G55" s="735">
        <f>C55/4+5</f>
        <v>8</v>
      </c>
      <c r="H55" s="735">
        <f>D55</f>
        <v>1000</v>
      </c>
      <c r="I55" s="735">
        <f t="shared" si="26"/>
        <v>8000</v>
      </c>
      <c r="J55" s="719"/>
      <c r="K55" s="725"/>
      <c r="L55" s="719"/>
      <c r="M55" s="719"/>
      <c r="N55" s="719"/>
      <c r="O55" s="719"/>
      <c r="P55" s="748">
        <f>0</f>
        <v>0</v>
      </c>
      <c r="Q55" s="748">
        <f>0</f>
        <v>0</v>
      </c>
      <c r="R55" s="751">
        <f>0</f>
        <v>0</v>
      </c>
      <c r="S55" s="751">
        <f t="shared" si="28"/>
        <v>0</v>
      </c>
      <c r="T55" s="719"/>
      <c r="U55" s="749">
        <f t="shared" si="32"/>
        <v>8</v>
      </c>
      <c r="V55" s="749">
        <f t="shared" si="29"/>
        <v>1000</v>
      </c>
      <c r="W55" s="749">
        <f t="shared" si="30"/>
        <v>8000</v>
      </c>
      <c r="X55" s="720"/>
      <c r="Y55" s="720"/>
      <c r="Z55" s="720"/>
      <c r="AA55" s="720"/>
      <c r="AB55" s="720"/>
    </row>
    <row r="56" spans="1:28" ht="12.75" customHeight="1" thickBot="1">
      <c r="A56" s="914"/>
      <c r="B56" s="733"/>
      <c r="C56" s="734"/>
      <c r="D56" s="735"/>
      <c r="E56" s="737"/>
      <c r="F56" s="736"/>
      <c r="G56" s="735"/>
      <c r="H56" s="735"/>
      <c r="I56" s="737"/>
      <c r="J56" s="719"/>
      <c r="K56" s="725"/>
      <c r="L56" s="719"/>
      <c r="M56" s="719"/>
      <c r="N56" s="719"/>
      <c r="O56" s="719"/>
      <c r="P56" s="748"/>
      <c r="Q56" s="748"/>
      <c r="R56" s="719"/>
      <c r="S56" s="719"/>
      <c r="T56" s="719"/>
      <c r="U56" s="749"/>
      <c r="V56" s="749"/>
      <c r="W56" s="749"/>
      <c r="X56" s="720"/>
      <c r="Y56" s="720"/>
      <c r="Z56" s="720"/>
      <c r="AA56" s="720"/>
      <c r="AB56" s="720"/>
    </row>
    <row r="57" spans="1:28" ht="13.5" customHeight="1" thickBot="1">
      <c r="A57" s="917" t="s">
        <v>1366</v>
      </c>
      <c r="B57" s="733"/>
      <c r="C57" s="734"/>
      <c r="D57" s="735"/>
      <c r="E57" s="737">
        <f>E59+E64</f>
        <v>147400</v>
      </c>
      <c r="F57" s="737"/>
      <c r="G57" s="737"/>
      <c r="H57" s="737"/>
      <c r="I57" s="737">
        <f>I59+I64</f>
        <v>46850</v>
      </c>
      <c r="J57" s="737">
        <f t="shared" ref="J57:W57" si="34">J59+J64</f>
        <v>0</v>
      </c>
      <c r="K57" s="737">
        <f t="shared" si="34"/>
        <v>0</v>
      </c>
      <c r="L57" s="737">
        <f t="shared" si="34"/>
        <v>0</v>
      </c>
      <c r="M57" s="737">
        <f t="shared" si="34"/>
        <v>0</v>
      </c>
      <c r="N57" s="737">
        <f t="shared" si="34"/>
        <v>0</v>
      </c>
      <c r="O57" s="737">
        <f t="shared" si="34"/>
        <v>0</v>
      </c>
      <c r="P57" s="737">
        <f t="shared" si="34"/>
        <v>0</v>
      </c>
      <c r="Q57" s="737">
        <f t="shared" si="34"/>
        <v>77.939560062626057</v>
      </c>
      <c r="R57" s="737">
        <f t="shared" si="34"/>
        <v>1472.5065819863194</v>
      </c>
      <c r="S57" s="737">
        <f t="shared" si="34"/>
        <v>1550.4461420489454</v>
      </c>
      <c r="T57" s="737">
        <f t="shared" si="34"/>
        <v>0</v>
      </c>
      <c r="U57" s="737">
        <f t="shared" si="34"/>
        <v>101.5</v>
      </c>
      <c r="V57" s="737">
        <f t="shared" si="34"/>
        <v>3100</v>
      </c>
      <c r="W57" s="737">
        <f t="shared" si="34"/>
        <v>30850</v>
      </c>
      <c r="X57" s="720"/>
      <c r="Y57" s="720"/>
      <c r="Z57" s="720"/>
      <c r="AA57" s="720"/>
      <c r="AB57" s="720"/>
    </row>
    <row r="58" spans="1:28" ht="12.75" customHeight="1" thickBot="1">
      <c r="A58" s="917"/>
      <c r="B58" s="757"/>
      <c r="C58" s="719"/>
      <c r="D58" s="719"/>
      <c r="E58" s="719"/>
      <c r="F58" s="719"/>
      <c r="G58" s="751"/>
      <c r="H58" s="719"/>
      <c r="I58" s="719"/>
      <c r="J58" s="719"/>
      <c r="K58" s="725"/>
      <c r="L58" s="719"/>
      <c r="M58" s="719"/>
      <c r="N58" s="719"/>
      <c r="O58" s="719"/>
      <c r="P58" s="748"/>
      <c r="Q58" s="748"/>
      <c r="R58" s="779"/>
      <c r="S58" s="719"/>
      <c r="T58" s="719"/>
      <c r="U58" s="719"/>
      <c r="V58" s="719"/>
      <c r="W58" s="719"/>
      <c r="X58" s="720"/>
      <c r="Y58" s="720"/>
      <c r="Z58" s="720"/>
      <c r="AA58" s="720"/>
      <c r="AB58" s="720"/>
    </row>
    <row r="59" spans="1:28" ht="25.5" customHeight="1" thickBot="1">
      <c r="A59" s="917" t="s">
        <v>1367</v>
      </c>
      <c r="B59" s="733"/>
      <c r="C59" s="734"/>
      <c r="D59" s="735"/>
      <c r="E59" s="737">
        <f>SUM(E60:E62)</f>
        <v>116000</v>
      </c>
      <c r="F59" s="737"/>
      <c r="G59" s="737"/>
      <c r="H59" s="737"/>
      <c r="I59" s="737">
        <f>SUM(I60:I62)</f>
        <v>39000</v>
      </c>
      <c r="J59" s="737">
        <f t="shared" ref="J59:W59" si="35">SUM(J60:J62)</f>
        <v>0</v>
      </c>
      <c r="K59" s="737">
        <f t="shared" si="35"/>
        <v>0</v>
      </c>
      <c r="L59" s="737">
        <f t="shared" si="35"/>
        <v>0</v>
      </c>
      <c r="M59" s="737">
        <f t="shared" si="35"/>
        <v>0</v>
      </c>
      <c r="N59" s="737">
        <f t="shared" si="35"/>
        <v>0</v>
      </c>
      <c r="O59" s="737">
        <f t="shared" si="35"/>
        <v>0</v>
      </c>
      <c r="P59" s="737">
        <f t="shared" si="35"/>
        <v>0</v>
      </c>
      <c r="Q59" s="737">
        <f t="shared" si="35"/>
        <v>0</v>
      </c>
      <c r="R59" s="737">
        <f t="shared" si="35"/>
        <v>0</v>
      </c>
      <c r="S59" s="737">
        <f t="shared" si="35"/>
        <v>0</v>
      </c>
      <c r="T59" s="737">
        <f t="shared" si="35"/>
        <v>0</v>
      </c>
      <c r="U59" s="737">
        <f t="shared" si="35"/>
        <v>23</v>
      </c>
      <c r="V59" s="737">
        <f t="shared" si="35"/>
        <v>3000</v>
      </c>
      <c r="W59" s="737">
        <f t="shared" si="35"/>
        <v>23000</v>
      </c>
      <c r="X59" s="720"/>
      <c r="Y59" s="720"/>
      <c r="Z59" s="720"/>
      <c r="AA59" s="720"/>
      <c r="AB59" s="720"/>
    </row>
    <row r="60" spans="1:28" ht="27.75" customHeight="1" thickBot="1">
      <c r="A60" s="914" t="s">
        <v>1368</v>
      </c>
      <c r="B60" s="733" t="s">
        <v>796</v>
      </c>
      <c r="C60" s="734">
        <f>4*15</f>
        <v>60</v>
      </c>
      <c r="D60" s="735">
        <f>D53</f>
        <v>1000</v>
      </c>
      <c r="E60" s="735">
        <f>C60*D60</f>
        <v>60000</v>
      </c>
      <c r="F60" s="736" t="s">
        <v>1437</v>
      </c>
      <c r="G60" s="735">
        <f>C60/4</f>
        <v>15</v>
      </c>
      <c r="H60" s="735">
        <f>D60</f>
        <v>1000</v>
      </c>
      <c r="I60" s="735">
        <f>G60*H60</f>
        <v>15000</v>
      </c>
      <c r="J60" s="719"/>
      <c r="K60" s="725"/>
      <c r="L60" s="719"/>
      <c r="M60" s="719"/>
      <c r="N60" s="719"/>
      <c r="O60" s="719"/>
      <c r="P60" s="748">
        <f>0</f>
        <v>0</v>
      </c>
      <c r="Q60" s="748">
        <f>0</f>
        <v>0</v>
      </c>
      <c r="R60" s="780">
        <f>0</f>
        <v>0</v>
      </c>
      <c r="S60" s="751">
        <f>P60+Q60+R60</f>
        <v>0</v>
      </c>
      <c r="T60" s="719"/>
      <c r="U60" s="749">
        <f t="shared" ref="U60:V62" si="36">G60</f>
        <v>15</v>
      </c>
      <c r="V60" s="749">
        <f t="shared" si="36"/>
        <v>1000</v>
      </c>
      <c r="W60" s="749">
        <f>U60*V60</f>
        <v>15000</v>
      </c>
      <c r="X60" s="720"/>
      <c r="Y60" s="720"/>
      <c r="Z60" s="720"/>
      <c r="AA60" s="720"/>
      <c r="AB60" s="720"/>
    </row>
    <row r="61" spans="1:28" ht="31.5" customHeight="1" thickBot="1">
      <c r="A61" s="914" t="s">
        <v>1369</v>
      </c>
      <c r="B61" s="733" t="s">
        <v>796</v>
      </c>
      <c r="C61" s="734">
        <f>2*8</f>
        <v>16</v>
      </c>
      <c r="D61" s="735">
        <f>D60</f>
        <v>1000</v>
      </c>
      <c r="E61" s="735">
        <f>C61*D61</f>
        <v>16000</v>
      </c>
      <c r="F61" s="736" t="s">
        <v>1437</v>
      </c>
      <c r="G61" s="735">
        <f>C61/2</f>
        <v>8</v>
      </c>
      <c r="H61" s="735">
        <f>D61</f>
        <v>1000</v>
      </c>
      <c r="I61" s="735">
        <f>G61*H61</f>
        <v>8000</v>
      </c>
      <c r="J61" s="719"/>
      <c r="K61" s="725"/>
      <c r="L61" s="719"/>
      <c r="M61" s="719"/>
      <c r="N61" s="719"/>
      <c r="O61" s="719"/>
      <c r="P61" s="748">
        <f>0</f>
        <v>0</v>
      </c>
      <c r="Q61" s="748">
        <f>0</f>
        <v>0</v>
      </c>
      <c r="R61" s="780">
        <f>0</f>
        <v>0</v>
      </c>
      <c r="S61" s="751">
        <f>P61+Q61+R61</f>
        <v>0</v>
      </c>
      <c r="T61" s="719"/>
      <c r="U61" s="749">
        <f t="shared" si="36"/>
        <v>8</v>
      </c>
      <c r="V61" s="749">
        <f t="shared" si="36"/>
        <v>1000</v>
      </c>
      <c r="W61" s="749">
        <f>U61*V61</f>
        <v>8000</v>
      </c>
      <c r="X61" s="720"/>
      <c r="Y61" s="720"/>
      <c r="Z61" s="720"/>
      <c r="AA61" s="720"/>
      <c r="AB61" s="720"/>
    </row>
    <row r="62" spans="1:28" ht="43.9" customHeight="1" thickBot="1">
      <c r="A62" s="914" t="s">
        <v>1370</v>
      </c>
      <c r="B62" s="733" t="s">
        <v>796</v>
      </c>
      <c r="C62" s="734">
        <f>20*2</f>
        <v>40</v>
      </c>
      <c r="D62" s="735">
        <f>D61</f>
        <v>1000</v>
      </c>
      <c r="E62" s="735">
        <f>C62*D62</f>
        <v>40000</v>
      </c>
      <c r="F62" s="736" t="s">
        <v>1437</v>
      </c>
      <c r="G62" s="735">
        <v>16</v>
      </c>
      <c r="H62" s="735">
        <f>D62</f>
        <v>1000</v>
      </c>
      <c r="I62" s="735">
        <f>G62*H62</f>
        <v>16000</v>
      </c>
      <c r="J62" s="719"/>
      <c r="K62" s="725"/>
      <c r="L62" s="719"/>
      <c r="M62" s="719"/>
      <c r="N62" s="719"/>
      <c r="O62" s="719"/>
      <c r="P62" s="748">
        <f>0</f>
        <v>0</v>
      </c>
      <c r="Q62" s="748">
        <f>0</f>
        <v>0</v>
      </c>
      <c r="R62" s="748">
        <f>0</f>
        <v>0</v>
      </c>
      <c r="S62" s="751">
        <f>P62+Q62+R62</f>
        <v>0</v>
      </c>
      <c r="T62" s="719"/>
      <c r="U62" s="749">
        <f>0</f>
        <v>0</v>
      </c>
      <c r="V62" s="749">
        <f t="shared" si="36"/>
        <v>1000</v>
      </c>
      <c r="W62" s="749">
        <f>U62*V62</f>
        <v>0</v>
      </c>
      <c r="X62" s="720"/>
      <c r="Y62" s="720"/>
      <c r="Z62" s="720"/>
      <c r="AA62" s="720"/>
      <c r="AB62" s="720"/>
    </row>
    <row r="63" spans="1:28" ht="12.75" customHeight="1" thickBot="1">
      <c r="A63" s="914"/>
      <c r="B63" s="733"/>
      <c r="C63" s="734"/>
      <c r="D63" s="735"/>
      <c r="E63" s="737"/>
      <c r="F63" s="736"/>
      <c r="G63" s="735"/>
      <c r="H63" s="735"/>
      <c r="I63" s="737"/>
      <c r="J63" s="719"/>
      <c r="K63" s="725"/>
      <c r="L63" s="719"/>
      <c r="M63" s="719"/>
      <c r="N63" s="719"/>
      <c r="O63" s="719"/>
      <c r="P63" s="748"/>
      <c r="Q63" s="748"/>
      <c r="R63" s="779"/>
      <c r="S63" s="719"/>
      <c r="T63" s="719"/>
      <c r="U63" s="719"/>
      <c r="V63" s="719"/>
      <c r="W63" s="719"/>
      <c r="X63" s="720"/>
      <c r="Y63" s="720"/>
      <c r="Z63" s="720"/>
      <c r="AA63" s="720"/>
      <c r="AB63" s="720"/>
    </row>
    <row r="64" spans="1:28" ht="13.5" customHeight="1" thickBot="1">
      <c r="A64" s="917" t="s">
        <v>1371</v>
      </c>
      <c r="B64" s="733"/>
      <c r="C64" s="734"/>
      <c r="D64" s="735"/>
      <c r="E64" s="737">
        <f>E65</f>
        <v>31400</v>
      </c>
      <c r="F64" s="736"/>
      <c r="G64" s="735"/>
      <c r="H64" s="735"/>
      <c r="I64" s="737">
        <f>I65</f>
        <v>7850</v>
      </c>
      <c r="J64" s="737">
        <f t="shared" ref="J64:W64" si="37">J65</f>
        <v>0</v>
      </c>
      <c r="K64" s="737">
        <f t="shared" si="37"/>
        <v>0</v>
      </c>
      <c r="L64" s="737">
        <f t="shared" si="37"/>
        <v>0</v>
      </c>
      <c r="M64" s="737">
        <f t="shared" si="37"/>
        <v>0</v>
      </c>
      <c r="N64" s="737">
        <f t="shared" si="37"/>
        <v>0</v>
      </c>
      <c r="O64" s="737">
        <f t="shared" si="37"/>
        <v>0</v>
      </c>
      <c r="P64" s="737">
        <f t="shared" si="37"/>
        <v>0</v>
      </c>
      <c r="Q64" s="737">
        <f t="shared" si="37"/>
        <v>77.939560062626057</v>
      </c>
      <c r="R64" s="737">
        <f t="shared" si="37"/>
        <v>1472.5065819863194</v>
      </c>
      <c r="S64" s="737">
        <f t="shared" si="37"/>
        <v>1550.4461420489454</v>
      </c>
      <c r="T64" s="737">
        <f t="shared" si="37"/>
        <v>0</v>
      </c>
      <c r="U64" s="737">
        <f t="shared" si="37"/>
        <v>78.5</v>
      </c>
      <c r="V64" s="737">
        <f t="shared" si="37"/>
        <v>100</v>
      </c>
      <c r="W64" s="737">
        <f t="shared" si="37"/>
        <v>7850</v>
      </c>
      <c r="X64" s="720"/>
      <c r="Y64" s="720"/>
      <c r="Z64" s="720"/>
      <c r="AA64" s="720"/>
      <c r="AB64" s="720"/>
    </row>
    <row r="65" spans="1:28" ht="13.5" customHeight="1" thickBot="1">
      <c r="A65" s="914" t="s">
        <v>1372</v>
      </c>
      <c r="B65" s="733"/>
      <c r="C65" s="734">
        <f>SUM(C46:C62)</f>
        <v>314</v>
      </c>
      <c r="D65" s="735">
        <f>100</f>
        <v>100</v>
      </c>
      <c r="E65" s="735">
        <f>C65*D65</f>
        <v>31400</v>
      </c>
      <c r="F65" s="736"/>
      <c r="G65" s="735">
        <f>C65/4</f>
        <v>78.5</v>
      </c>
      <c r="H65" s="735">
        <f>D65</f>
        <v>100</v>
      </c>
      <c r="I65" s="735">
        <f>G65*H65</f>
        <v>7850</v>
      </c>
      <c r="J65" s="719"/>
      <c r="K65" s="725"/>
      <c r="L65" s="719"/>
      <c r="M65" s="719"/>
      <c r="N65" s="719"/>
      <c r="O65" s="719"/>
      <c r="P65" s="748">
        <f>0</f>
        <v>0</v>
      </c>
      <c r="Q65" s="748">
        <f>'[2]Bank XOF'!G63/655.957</f>
        <v>77.939560062626057</v>
      </c>
      <c r="R65" s="780">
        <f>('[2]Bank XOF'!G112+'[2]Bank XOF'!G123)/655.957+'[2]Bank XOF'!G168/655.957+[2]Details!C72+[2]Details!C80</f>
        <v>1472.5065819863194</v>
      </c>
      <c r="S65" s="751">
        <f>P65+Q65+R65</f>
        <v>1550.4461420489454</v>
      </c>
      <c r="T65" s="719"/>
      <c r="U65" s="751">
        <f>G65</f>
        <v>78.5</v>
      </c>
      <c r="V65" s="751">
        <f>H65</f>
        <v>100</v>
      </c>
      <c r="W65" s="719">
        <f>U65*V65</f>
        <v>7850</v>
      </c>
      <c r="X65" s="720"/>
      <c r="Y65" s="720"/>
      <c r="Z65" s="720"/>
      <c r="AA65" s="720"/>
      <c r="AB65" s="720"/>
    </row>
    <row r="66" spans="1:28" ht="12.75" customHeight="1" thickBot="1">
      <c r="A66" s="914"/>
      <c r="B66" s="733"/>
      <c r="C66" s="734"/>
      <c r="D66" s="735"/>
      <c r="E66" s="737"/>
      <c r="F66" s="736"/>
      <c r="G66" s="735"/>
      <c r="H66" s="735"/>
      <c r="I66" s="737"/>
      <c r="J66" s="719"/>
      <c r="K66" s="725"/>
      <c r="L66" s="719"/>
      <c r="M66" s="719"/>
      <c r="N66" s="719"/>
      <c r="O66" s="719"/>
      <c r="P66" s="748"/>
      <c r="Q66" s="748"/>
      <c r="R66" s="779"/>
      <c r="S66" s="719"/>
      <c r="T66" s="719"/>
      <c r="U66" s="719"/>
      <c r="V66" s="719"/>
      <c r="W66" s="719"/>
      <c r="X66" s="720"/>
      <c r="Y66" s="720"/>
      <c r="Z66" s="720"/>
      <c r="AA66" s="720"/>
      <c r="AB66" s="720"/>
    </row>
    <row r="67" spans="1:28" ht="13.5" customHeight="1" thickBot="1">
      <c r="A67" s="917" t="s">
        <v>1373</v>
      </c>
      <c r="B67" s="756"/>
      <c r="C67" s="781"/>
      <c r="D67" s="737"/>
      <c r="E67" s="737">
        <f>E68</f>
        <v>20000</v>
      </c>
      <c r="F67" s="727"/>
      <c r="G67" s="737"/>
      <c r="H67" s="737"/>
      <c r="I67" s="737">
        <f>I68</f>
        <v>10000</v>
      </c>
      <c r="J67" s="737">
        <f t="shared" ref="J67:W67" si="38">J68</f>
        <v>0</v>
      </c>
      <c r="K67" s="737">
        <f t="shared" si="38"/>
        <v>0</v>
      </c>
      <c r="L67" s="737">
        <f t="shared" si="38"/>
        <v>0</v>
      </c>
      <c r="M67" s="737">
        <f t="shared" si="38"/>
        <v>0</v>
      </c>
      <c r="N67" s="737">
        <f t="shared" si="38"/>
        <v>0</v>
      </c>
      <c r="O67" s="737">
        <f t="shared" si="38"/>
        <v>0</v>
      </c>
      <c r="P67" s="737">
        <f t="shared" si="38"/>
        <v>0</v>
      </c>
      <c r="Q67" s="737">
        <f t="shared" si="38"/>
        <v>3156.5498958010967</v>
      </c>
      <c r="R67" s="737">
        <f t="shared" si="38"/>
        <v>3380.6377552187114</v>
      </c>
      <c r="S67" s="737">
        <f t="shared" si="38"/>
        <v>6537.1876510198081</v>
      </c>
      <c r="T67" s="737">
        <f t="shared" si="38"/>
        <v>0</v>
      </c>
      <c r="U67" s="737">
        <f t="shared" si="38"/>
        <v>10</v>
      </c>
      <c r="V67" s="737">
        <f t="shared" si="38"/>
        <v>1000</v>
      </c>
      <c r="W67" s="737">
        <f t="shared" si="38"/>
        <v>10000</v>
      </c>
      <c r="X67" s="782"/>
      <c r="Y67" s="782"/>
      <c r="Z67" s="782"/>
      <c r="AA67" s="782"/>
      <c r="AB67" s="782"/>
    </row>
    <row r="68" spans="1:28" ht="30" customHeight="1" thickBot="1">
      <c r="A68" s="914" t="s">
        <v>1374</v>
      </c>
      <c r="B68" s="733" t="s">
        <v>815</v>
      </c>
      <c r="C68" s="744">
        <v>20</v>
      </c>
      <c r="D68" s="735">
        <f>1000</f>
        <v>1000</v>
      </c>
      <c r="E68" s="735">
        <f>C68*D68</f>
        <v>20000</v>
      </c>
      <c r="F68" s="736"/>
      <c r="G68" s="735">
        <f>20/2</f>
        <v>10</v>
      </c>
      <c r="H68" s="737">
        <f>D68</f>
        <v>1000</v>
      </c>
      <c r="I68" s="735">
        <f>G68*H68</f>
        <v>10000</v>
      </c>
      <c r="J68" s="719"/>
      <c r="K68" s="725"/>
      <c r="L68" s="719"/>
      <c r="M68" s="719"/>
      <c r="N68" s="719"/>
      <c r="O68" s="719"/>
      <c r="P68" s="748">
        <f>0</f>
        <v>0</v>
      </c>
      <c r="Q68" s="748">
        <f>'[2]Bank XOF'!G64/655.957</f>
        <v>3156.5498958010967</v>
      </c>
      <c r="R68" s="748">
        <f>'[2]Bank XOF'!G124/655.957+'[2]Bank XOF'!G171/655.957</f>
        <v>3380.6377552187114</v>
      </c>
      <c r="S68" s="751">
        <f>P68+Q68+R68</f>
        <v>6537.1876510198081</v>
      </c>
      <c r="T68" s="719"/>
      <c r="U68" s="749">
        <f>G68</f>
        <v>10</v>
      </c>
      <c r="V68" s="749">
        <f>H68</f>
        <v>1000</v>
      </c>
      <c r="W68" s="749">
        <f>U68*V68</f>
        <v>10000</v>
      </c>
      <c r="X68" s="720"/>
      <c r="Y68" s="720"/>
      <c r="Z68" s="720"/>
      <c r="AA68" s="720"/>
      <c r="AB68" s="720"/>
    </row>
    <row r="69" spans="1:28" ht="13.5" customHeight="1" thickBot="1">
      <c r="A69" s="914"/>
      <c r="B69" s="733"/>
      <c r="C69" s="744"/>
      <c r="D69" s="735"/>
      <c r="E69" s="735"/>
      <c r="F69" s="736"/>
      <c r="G69" s="735"/>
      <c r="H69" s="737"/>
      <c r="I69" s="737"/>
      <c r="J69" s="719"/>
      <c r="K69" s="725"/>
      <c r="L69" s="719"/>
      <c r="M69" s="719"/>
      <c r="N69" s="719"/>
      <c r="O69" s="719"/>
      <c r="P69" s="748"/>
      <c r="Q69" s="748"/>
      <c r="R69" s="779"/>
      <c r="S69" s="719"/>
      <c r="T69" s="719"/>
      <c r="U69" s="719"/>
      <c r="V69" s="719"/>
      <c r="W69" s="719"/>
      <c r="X69" s="720"/>
      <c r="Y69" s="720"/>
      <c r="Z69" s="720"/>
      <c r="AA69" s="720"/>
      <c r="AB69" s="720"/>
    </row>
    <row r="70" spans="1:28" ht="15" customHeight="1" thickBot="1">
      <c r="A70" s="918" t="s">
        <v>1375</v>
      </c>
      <c r="B70" s="784"/>
      <c r="C70" s="785"/>
      <c r="D70" s="786"/>
      <c r="E70" s="787">
        <f>E45+E57+E67</f>
        <v>365400</v>
      </c>
      <c r="F70" s="788"/>
      <c r="G70" s="786"/>
      <c r="H70" s="786"/>
      <c r="I70" s="787">
        <f>I45+I57+I67</f>
        <v>134850</v>
      </c>
      <c r="J70" s="787">
        <f t="shared" ref="J70:W70" si="39">J45+J57+J67</f>
        <v>0</v>
      </c>
      <c r="K70" s="787">
        <f t="shared" si="39"/>
        <v>0</v>
      </c>
      <c r="L70" s="787">
        <f t="shared" si="39"/>
        <v>0</v>
      </c>
      <c r="M70" s="787">
        <f t="shared" si="39"/>
        <v>0</v>
      </c>
      <c r="N70" s="787">
        <f t="shared" si="39"/>
        <v>0</v>
      </c>
      <c r="O70" s="787">
        <f t="shared" si="39"/>
        <v>0</v>
      </c>
      <c r="P70" s="787">
        <f t="shared" si="39"/>
        <v>0</v>
      </c>
      <c r="Q70" s="787">
        <f t="shared" si="39"/>
        <v>3234.4894558637229</v>
      </c>
      <c r="R70" s="787">
        <f t="shared" si="39"/>
        <v>11497.819216808419</v>
      </c>
      <c r="S70" s="787">
        <f t="shared" si="39"/>
        <v>14732.308672672141</v>
      </c>
      <c r="T70" s="787">
        <f t="shared" si="39"/>
        <v>0</v>
      </c>
      <c r="U70" s="787">
        <f t="shared" si="39"/>
        <v>172.5</v>
      </c>
      <c r="V70" s="787">
        <f t="shared" si="39"/>
        <v>14100</v>
      </c>
      <c r="W70" s="787">
        <f t="shared" si="39"/>
        <v>101850</v>
      </c>
      <c r="X70" s="720"/>
      <c r="Y70" s="720"/>
      <c r="Z70" s="720"/>
      <c r="AA70" s="720"/>
      <c r="AB70" s="720"/>
    </row>
    <row r="71" spans="1:28" ht="15" customHeight="1" thickBot="1">
      <c r="A71" s="919" t="s">
        <v>1376</v>
      </c>
      <c r="B71" s="790"/>
      <c r="C71" s="791"/>
      <c r="D71" s="792"/>
      <c r="E71" s="792"/>
      <c r="F71" s="793"/>
      <c r="G71" s="792"/>
      <c r="H71" s="792"/>
      <c r="I71" s="792"/>
      <c r="J71" s="792"/>
      <c r="K71" s="792"/>
      <c r="L71" s="792"/>
      <c r="M71" s="792"/>
      <c r="N71" s="792"/>
      <c r="O71" s="792"/>
      <c r="P71" s="792"/>
      <c r="Q71" s="792"/>
      <c r="R71" s="792"/>
      <c r="S71" s="792"/>
      <c r="T71" s="792"/>
      <c r="U71" s="792"/>
      <c r="V71" s="792"/>
      <c r="W71" s="792"/>
      <c r="X71" s="720"/>
      <c r="Y71" s="720"/>
      <c r="Z71" s="720"/>
      <c r="AA71" s="720"/>
      <c r="AB71" s="720"/>
    </row>
    <row r="72" spans="1:28" ht="13.5" customHeight="1" thickBot="1">
      <c r="A72" s="913" t="s">
        <v>1377</v>
      </c>
      <c r="B72" s="733" t="s">
        <v>817</v>
      </c>
      <c r="C72" s="734">
        <v>1</v>
      </c>
      <c r="D72" s="735">
        <f>65000</f>
        <v>65000</v>
      </c>
      <c r="E72" s="735">
        <f>C72*D72</f>
        <v>65000</v>
      </c>
      <c r="F72" s="736" t="s">
        <v>1439</v>
      </c>
      <c r="G72" s="735">
        <f>1</f>
        <v>1</v>
      </c>
      <c r="H72" s="735">
        <f>D72</f>
        <v>65000</v>
      </c>
      <c r="I72" s="737">
        <f>G72*H72</f>
        <v>65000</v>
      </c>
      <c r="J72" s="737">
        <f t="shared" ref="J72:T72" si="40">H72*I72</f>
        <v>4225000000</v>
      </c>
      <c r="K72" s="737">
        <f t="shared" si="40"/>
        <v>274625000000000</v>
      </c>
      <c r="L72" s="737">
        <f t="shared" si="40"/>
        <v>1.1602906250000001E+24</v>
      </c>
      <c r="M72" s="737">
        <f t="shared" si="40"/>
        <v>3.1864481289062502E+38</v>
      </c>
      <c r="N72" s="737">
        <f t="shared" si="40"/>
        <v>3.6972058910187136E+62</v>
      </c>
      <c r="O72" s="737">
        <f t="shared" si="40"/>
        <v>1.1780954793617746E+101</v>
      </c>
      <c r="P72" s="737">
        <f t="shared" si="40"/>
        <v>4.3556615464788685E+163</v>
      </c>
      <c r="Q72" s="737">
        <f t="shared" si="40"/>
        <v>5.1313851775366706E+264</v>
      </c>
      <c r="R72" s="737" t="e">
        <f t="shared" si="40"/>
        <v>#NUM!</v>
      </c>
      <c r="S72" s="737" t="e">
        <f t="shared" si="40"/>
        <v>#NUM!</v>
      </c>
      <c r="T72" s="737" t="e">
        <f t="shared" si="40"/>
        <v>#NUM!</v>
      </c>
      <c r="U72" s="735">
        <f>G72</f>
        <v>1</v>
      </c>
      <c r="V72" s="735">
        <f>10000</f>
        <v>10000</v>
      </c>
      <c r="W72" s="737">
        <f>U72*V72</f>
        <v>10000</v>
      </c>
      <c r="X72" s="720"/>
      <c r="Y72" s="720"/>
      <c r="Z72" s="720"/>
      <c r="AA72" s="720"/>
      <c r="AB72" s="720"/>
    </row>
    <row r="73" spans="1:28" ht="13.5" customHeight="1" thickBot="1">
      <c r="A73" s="913" t="s">
        <v>1378</v>
      </c>
      <c r="B73" s="733"/>
      <c r="C73" s="734"/>
      <c r="D73" s="735"/>
      <c r="E73" s="737"/>
      <c r="F73" s="736"/>
      <c r="G73" s="735"/>
      <c r="H73" s="735"/>
      <c r="I73" s="737">
        <f>SUM(I74:I84)</f>
        <v>77701.330778287811</v>
      </c>
      <c r="J73" s="737">
        <f t="shared" ref="J73:W73" si="41">SUM(J74:J84)</f>
        <v>0</v>
      </c>
      <c r="K73" s="737">
        <f t="shared" si="41"/>
        <v>0</v>
      </c>
      <c r="L73" s="737">
        <f t="shared" si="41"/>
        <v>0</v>
      </c>
      <c r="M73" s="737">
        <f t="shared" si="41"/>
        <v>0</v>
      </c>
      <c r="N73" s="737">
        <f t="shared" si="41"/>
        <v>0</v>
      </c>
      <c r="O73" s="737">
        <f t="shared" si="41"/>
        <v>0</v>
      </c>
      <c r="P73" s="737">
        <f t="shared" si="41"/>
        <v>0</v>
      </c>
      <c r="Q73" s="737">
        <f t="shared" si="41"/>
        <v>0</v>
      </c>
      <c r="R73" s="737">
        <f t="shared" si="41"/>
        <v>14837.786623208534</v>
      </c>
      <c r="S73" s="737">
        <f t="shared" si="41"/>
        <v>14837.786623208534</v>
      </c>
      <c r="T73" s="737">
        <f t="shared" si="41"/>
        <v>0</v>
      </c>
      <c r="U73" s="737">
        <f t="shared" si="41"/>
        <v>24.75</v>
      </c>
      <c r="V73" s="737">
        <f t="shared" si="41"/>
        <v>39367.863525856119</v>
      </c>
      <c r="W73" s="737">
        <f t="shared" si="41"/>
        <v>58439.292887841737</v>
      </c>
      <c r="X73" s="720"/>
      <c r="Y73" s="720"/>
      <c r="Z73" s="720"/>
      <c r="AA73" s="720"/>
      <c r="AB73" s="720"/>
    </row>
    <row r="74" spans="1:28" ht="29.45" customHeight="1" thickBot="1">
      <c r="A74" s="912" t="s">
        <v>1379</v>
      </c>
      <c r="B74" s="733" t="s">
        <v>821</v>
      </c>
      <c r="C74" s="734"/>
      <c r="D74" s="735">
        <f>[3]Goods!$H$10+[3]Goods!$H$11+[3]Goods!$H$12</f>
        <v>33909.186120431674</v>
      </c>
      <c r="E74" s="735">
        <f>D74</f>
        <v>33909.186120431674</v>
      </c>
      <c r="F74" s="733" t="s">
        <v>1440</v>
      </c>
      <c r="G74" s="735"/>
      <c r="H74" s="735"/>
      <c r="I74" s="735">
        <f>E74</f>
        <v>33909.186120431674</v>
      </c>
      <c r="J74" s="719"/>
      <c r="K74" s="725"/>
      <c r="L74" s="719"/>
      <c r="M74" s="719"/>
      <c r="N74" s="719"/>
      <c r="O74" s="719"/>
      <c r="P74" s="748">
        <f>0</f>
        <v>0</v>
      </c>
      <c r="Q74" s="748">
        <f>0</f>
        <v>0</v>
      </c>
      <c r="R74" s="748">
        <f>('[2]Bank XOF'!G195/655.957)</f>
        <v>12364.39736141241</v>
      </c>
      <c r="S74" s="749">
        <f>P74+Q74+R74</f>
        <v>12364.39736141241</v>
      </c>
      <c r="T74" s="719"/>
      <c r="U74" s="719"/>
      <c r="V74" s="794">
        <f>33909.19-12500</f>
        <v>21409.190000000002</v>
      </c>
      <c r="W74" s="751">
        <f>V74</f>
        <v>21409.190000000002</v>
      </c>
      <c r="X74" s="720"/>
      <c r="Y74" s="720"/>
      <c r="Z74" s="720"/>
      <c r="AA74" s="720"/>
      <c r="AB74" s="720"/>
    </row>
    <row r="75" spans="1:28" ht="21" customHeight="1" thickBot="1">
      <c r="A75" s="912" t="s">
        <v>1380</v>
      </c>
      <c r="B75" s="733" t="s">
        <v>824</v>
      </c>
      <c r="C75" s="734">
        <v>5</v>
      </c>
      <c r="D75" s="735"/>
      <c r="E75" s="735">
        <f>[3]Goods!$H$13+[3]Goods!$H$14</f>
        <v>11097.960689496416</v>
      </c>
      <c r="F75" s="736" t="s">
        <v>825</v>
      </c>
      <c r="G75" s="735"/>
      <c r="H75" s="735"/>
      <c r="I75" s="735">
        <f>E75/3</f>
        <v>3699.3202298321389</v>
      </c>
      <c r="J75" s="719"/>
      <c r="K75" s="725"/>
      <c r="L75" s="719"/>
      <c r="M75" s="719"/>
      <c r="N75" s="719"/>
      <c r="O75" s="719"/>
      <c r="P75" s="748">
        <f>0</f>
        <v>0</v>
      </c>
      <c r="Q75" s="748">
        <f>0</f>
        <v>0</v>
      </c>
      <c r="R75" s="780"/>
      <c r="S75" s="751">
        <f t="shared" ref="S75:S84" si="42">P75+Q75+R75</f>
        <v>0</v>
      </c>
      <c r="T75" s="719"/>
      <c r="U75" s="719"/>
      <c r="V75" s="751">
        <f>3000</f>
        <v>3000</v>
      </c>
      <c r="W75" s="751">
        <f>3000</f>
        <v>3000</v>
      </c>
      <c r="X75" s="720"/>
      <c r="Y75" s="720"/>
      <c r="Z75" s="720"/>
      <c r="AA75" s="720"/>
      <c r="AB75" s="720"/>
    </row>
    <row r="76" spans="1:28" ht="15.75" customHeight="1" thickBot="1">
      <c r="A76" s="912" t="s">
        <v>1381</v>
      </c>
      <c r="B76" s="733" t="s">
        <v>827</v>
      </c>
      <c r="C76" s="734">
        <f>1*1</f>
        <v>1</v>
      </c>
      <c r="D76" s="735">
        <f>[3]Goods!$H$15</f>
        <v>11000</v>
      </c>
      <c r="E76" s="735">
        <f>D76</f>
        <v>11000</v>
      </c>
      <c r="F76" s="736" t="s">
        <v>1441</v>
      </c>
      <c r="G76" s="735">
        <f>1*1</f>
        <v>1</v>
      </c>
      <c r="H76" s="735">
        <v>11000</v>
      </c>
      <c r="I76" s="735">
        <f>G76*H76</f>
        <v>11000</v>
      </c>
      <c r="J76" s="719"/>
      <c r="K76" s="725"/>
      <c r="L76" s="719"/>
      <c r="M76" s="719"/>
      <c r="N76" s="719"/>
      <c r="O76" s="719"/>
      <c r="P76" s="748">
        <f>0</f>
        <v>0</v>
      </c>
      <c r="Q76" s="748">
        <f>0</f>
        <v>0</v>
      </c>
      <c r="R76" s="780"/>
      <c r="S76" s="751">
        <f t="shared" si="42"/>
        <v>0</v>
      </c>
      <c r="T76" s="719"/>
      <c r="U76" s="719">
        <v>1</v>
      </c>
      <c r="V76" s="751">
        <f>11000</f>
        <v>11000</v>
      </c>
      <c r="W76" s="751">
        <f t="shared" ref="W76:W83" si="43">U76*V76</f>
        <v>11000</v>
      </c>
      <c r="X76" s="720"/>
      <c r="Y76" s="720"/>
      <c r="Z76" s="720"/>
      <c r="AA76" s="720"/>
      <c r="AB76" s="720"/>
    </row>
    <row r="77" spans="1:28" ht="13.5" customHeight="1" thickBot="1">
      <c r="A77" s="912" t="s">
        <v>1382</v>
      </c>
      <c r="B77" s="733" t="s">
        <v>829</v>
      </c>
      <c r="C77" s="734">
        <v>2</v>
      </c>
      <c r="D77" s="735">
        <f>E77/C77</f>
        <v>650</v>
      </c>
      <c r="E77" s="735">
        <f>[3]Goods!$H$16</f>
        <v>1300</v>
      </c>
      <c r="F77" s="736" t="s">
        <v>1442</v>
      </c>
      <c r="G77" s="735">
        <v>2</v>
      </c>
      <c r="H77" s="735">
        <f>D77</f>
        <v>650</v>
      </c>
      <c r="I77" s="735">
        <f>G77*H77</f>
        <v>1300</v>
      </c>
      <c r="J77" s="719"/>
      <c r="K77" s="725"/>
      <c r="L77" s="719"/>
      <c r="M77" s="719"/>
      <c r="N77" s="719"/>
      <c r="O77" s="719"/>
      <c r="P77" s="748">
        <f>0</f>
        <v>0</v>
      </c>
      <c r="Q77" s="748">
        <f>0</f>
        <v>0</v>
      </c>
      <c r="R77" s="780"/>
      <c r="S77" s="751">
        <f t="shared" si="42"/>
        <v>0</v>
      </c>
      <c r="T77" s="719"/>
      <c r="U77" s="719">
        <v>2</v>
      </c>
      <c r="V77" s="751">
        <v>650</v>
      </c>
      <c r="W77" s="751">
        <f t="shared" si="43"/>
        <v>1300</v>
      </c>
      <c r="X77" s="720"/>
      <c r="Y77" s="720"/>
      <c r="Z77" s="720"/>
      <c r="AA77" s="720"/>
      <c r="AB77" s="720"/>
    </row>
    <row r="78" spans="1:28" ht="13.5" customHeight="1" thickBot="1">
      <c r="A78" s="912" t="s">
        <v>1383</v>
      </c>
      <c r="B78" s="733" t="s">
        <v>832</v>
      </c>
      <c r="C78" s="734"/>
      <c r="D78" s="735"/>
      <c r="E78" s="735">
        <f>[3]Goods!$H$17</f>
        <v>1900</v>
      </c>
      <c r="F78" s="736" t="s">
        <v>833</v>
      </c>
      <c r="G78" s="735">
        <f>1*5</f>
        <v>5</v>
      </c>
      <c r="H78" s="735">
        <v>1000</v>
      </c>
      <c r="I78" s="735">
        <f>E78</f>
        <v>1900</v>
      </c>
      <c r="J78" s="719"/>
      <c r="K78" s="725"/>
      <c r="L78" s="719"/>
      <c r="M78" s="719"/>
      <c r="N78" s="719"/>
      <c r="O78" s="719"/>
      <c r="P78" s="748">
        <f>0</f>
        <v>0</v>
      </c>
      <c r="Q78" s="748">
        <f>0</f>
        <v>0</v>
      </c>
      <c r="R78" s="780"/>
      <c r="S78" s="751">
        <f t="shared" si="42"/>
        <v>0</v>
      </c>
      <c r="T78" s="719"/>
      <c r="U78" s="719">
        <f>0</f>
        <v>0</v>
      </c>
      <c r="V78" s="751">
        <f>0</f>
        <v>0</v>
      </c>
      <c r="W78" s="751">
        <f t="shared" si="43"/>
        <v>0</v>
      </c>
      <c r="X78" s="720"/>
      <c r="Y78" s="720"/>
      <c r="Z78" s="720"/>
      <c r="AA78" s="720"/>
      <c r="AB78" s="720"/>
    </row>
    <row r="79" spans="1:28" ht="13.5" customHeight="1" thickBot="1">
      <c r="A79" s="912" t="s">
        <v>1384</v>
      </c>
      <c r="B79" s="733" t="s">
        <v>835</v>
      </c>
      <c r="C79" s="734">
        <f>E79/D79</f>
        <v>15</v>
      </c>
      <c r="D79" s="735">
        <f>E79/15</f>
        <v>228.67352585611559</v>
      </c>
      <c r="E79" s="735">
        <f>[3]Goods!$H$31</f>
        <v>3430.1028878417337</v>
      </c>
      <c r="F79" s="736" t="s">
        <v>1443</v>
      </c>
      <c r="G79" s="735">
        <f>C79</f>
        <v>15</v>
      </c>
      <c r="H79" s="735">
        <f>D79</f>
        <v>228.67352585611559</v>
      </c>
      <c r="I79" s="735">
        <f>G79*H79</f>
        <v>3430.1028878417337</v>
      </c>
      <c r="J79" s="719"/>
      <c r="K79" s="725"/>
      <c r="L79" s="719"/>
      <c r="M79" s="719"/>
      <c r="N79" s="719"/>
      <c r="O79" s="719"/>
      <c r="P79" s="748">
        <f>0</f>
        <v>0</v>
      </c>
      <c r="Q79" s="748">
        <f>0</f>
        <v>0</v>
      </c>
      <c r="R79" s="780"/>
      <c r="S79" s="751">
        <f t="shared" si="42"/>
        <v>0</v>
      </c>
      <c r="T79" s="719"/>
      <c r="U79" s="719">
        <f>15</f>
        <v>15</v>
      </c>
      <c r="V79" s="751">
        <f>H79</f>
        <v>228.67352585611559</v>
      </c>
      <c r="W79" s="751">
        <f t="shared" si="43"/>
        <v>3430.1028878417337</v>
      </c>
      <c r="X79" s="720"/>
      <c r="Y79" s="720"/>
      <c r="Z79" s="720"/>
      <c r="AA79" s="720"/>
      <c r="AB79" s="720"/>
    </row>
    <row r="80" spans="1:28" ht="13.5" customHeight="1" thickBot="1">
      <c r="A80" s="912" t="s">
        <v>1385</v>
      </c>
      <c r="B80" s="733" t="s">
        <v>837</v>
      </c>
      <c r="C80" s="734">
        <v>25</v>
      </c>
      <c r="D80" s="735">
        <v>80</v>
      </c>
      <c r="E80" s="735">
        <f>[3]Goods!$H$24</f>
        <v>2000</v>
      </c>
      <c r="F80" s="736" t="s">
        <v>1444</v>
      </c>
      <c r="G80" s="735">
        <f>C80</f>
        <v>25</v>
      </c>
      <c r="H80" s="735">
        <f>D80</f>
        <v>80</v>
      </c>
      <c r="I80" s="735">
        <f>G80*H80</f>
        <v>2000</v>
      </c>
      <c r="J80" s="719"/>
      <c r="K80" s="725"/>
      <c r="L80" s="719"/>
      <c r="M80" s="719"/>
      <c r="N80" s="719"/>
      <c r="O80" s="719"/>
      <c r="P80" s="748">
        <f>0</f>
        <v>0</v>
      </c>
      <c r="Q80" s="748">
        <f>0</f>
        <v>0</v>
      </c>
      <c r="R80" s="780">
        <f>'[2]Bank XOF'!G116/655.957</f>
        <v>1665.4094704378488</v>
      </c>
      <c r="S80" s="751">
        <f t="shared" si="42"/>
        <v>1665.4094704378488</v>
      </c>
      <c r="T80" s="719"/>
      <c r="U80" s="719">
        <v>3.75</v>
      </c>
      <c r="V80" s="751">
        <v>80</v>
      </c>
      <c r="W80" s="751">
        <f t="shared" si="43"/>
        <v>300</v>
      </c>
      <c r="X80" s="720"/>
      <c r="Y80" s="720"/>
      <c r="Z80" s="720"/>
      <c r="AA80" s="720"/>
      <c r="AB80" s="720"/>
    </row>
    <row r="81" spans="1:28" ht="13.5" customHeight="1" thickBot="1">
      <c r="A81" s="912" t="s">
        <v>1386</v>
      </c>
      <c r="B81" s="733"/>
      <c r="C81" s="734"/>
      <c r="D81" s="735">
        <f>[3]Goods!$H$18</f>
        <v>3300</v>
      </c>
      <c r="E81" s="735">
        <f>D81</f>
        <v>3300</v>
      </c>
      <c r="F81" s="736"/>
      <c r="G81" s="735"/>
      <c r="H81" s="735">
        <f>E81</f>
        <v>3300</v>
      </c>
      <c r="I81" s="735">
        <f>H81</f>
        <v>3300</v>
      </c>
      <c r="J81" s="719"/>
      <c r="K81" s="725"/>
      <c r="L81" s="719"/>
      <c r="M81" s="719"/>
      <c r="N81" s="719"/>
      <c r="O81" s="719"/>
      <c r="P81" s="748">
        <f>0</f>
        <v>0</v>
      </c>
      <c r="Q81" s="748">
        <f>0</f>
        <v>0</v>
      </c>
      <c r="R81" s="780"/>
      <c r="S81" s="751">
        <f t="shared" si="42"/>
        <v>0</v>
      </c>
      <c r="T81" s="719"/>
      <c r="U81" s="719">
        <v>1</v>
      </c>
      <c r="V81" s="751">
        <f>0</f>
        <v>0</v>
      </c>
      <c r="W81" s="751">
        <f t="shared" si="43"/>
        <v>0</v>
      </c>
      <c r="X81" s="720"/>
      <c r="Y81" s="720"/>
      <c r="Z81" s="720"/>
      <c r="AA81" s="720"/>
      <c r="AB81" s="720"/>
    </row>
    <row r="82" spans="1:28" ht="15" customHeight="1" thickBot="1">
      <c r="A82" s="912" t="s">
        <v>1387</v>
      </c>
      <c r="B82" s="733"/>
      <c r="C82" s="734"/>
      <c r="D82" s="735"/>
      <c r="E82" s="735">
        <f>6000</f>
        <v>6000</v>
      </c>
      <c r="F82" s="736"/>
      <c r="G82" s="735">
        <v>1</v>
      </c>
      <c r="H82" s="735"/>
      <c r="I82" s="735">
        <f>E82/3</f>
        <v>2000</v>
      </c>
      <c r="J82" s="719"/>
      <c r="K82" s="725"/>
      <c r="L82" s="719"/>
      <c r="M82" s="719"/>
      <c r="N82" s="719"/>
      <c r="O82" s="719"/>
      <c r="P82" s="748">
        <f>0</f>
        <v>0</v>
      </c>
      <c r="Q82" s="748">
        <f>0</f>
        <v>0</v>
      </c>
      <c r="R82" s="780"/>
      <c r="S82" s="751">
        <f t="shared" si="42"/>
        <v>0</v>
      </c>
      <c r="T82" s="719"/>
      <c r="U82" s="719">
        <v>1</v>
      </c>
      <c r="V82" s="751">
        <f>2000</f>
        <v>2000</v>
      </c>
      <c r="W82" s="751">
        <f t="shared" si="43"/>
        <v>2000</v>
      </c>
      <c r="X82" s="720"/>
      <c r="Y82" s="720"/>
      <c r="Z82" s="720"/>
      <c r="AA82" s="720"/>
      <c r="AB82" s="720"/>
    </row>
    <row r="83" spans="1:28" ht="16.899999999999999" customHeight="1" thickBot="1">
      <c r="A83" s="912" t="s">
        <v>1388</v>
      </c>
      <c r="B83" s="733" t="s">
        <v>841</v>
      </c>
      <c r="C83" s="734">
        <v>10</v>
      </c>
      <c r="D83" s="735">
        <f>E83/C83</f>
        <v>365.8776413697849</v>
      </c>
      <c r="E83" s="735">
        <f>[3]Goods!$H$29</f>
        <v>3658.776413697849</v>
      </c>
      <c r="F83" s="736" t="s">
        <v>1445</v>
      </c>
      <c r="G83" s="735">
        <v>5</v>
      </c>
      <c r="H83" s="735">
        <f>D83</f>
        <v>365.8776413697849</v>
      </c>
      <c r="I83" s="735">
        <f>H83*G83</f>
        <v>1829.3882068489245</v>
      </c>
      <c r="J83" s="719"/>
      <c r="K83" s="725"/>
      <c r="L83" s="719"/>
      <c r="M83" s="719"/>
      <c r="N83" s="719"/>
      <c r="O83" s="719"/>
      <c r="P83" s="748">
        <f>0</f>
        <v>0</v>
      </c>
      <c r="Q83" s="748">
        <f>0</f>
        <v>0</v>
      </c>
      <c r="R83" s="780">
        <f>'[2]Bank XOF'!G143/655.957</f>
        <v>807.97979135827507</v>
      </c>
      <c r="S83" s="751">
        <f t="shared" si="42"/>
        <v>807.97979135827507</v>
      </c>
      <c r="T83" s="719"/>
      <c r="U83" s="719">
        <v>1</v>
      </c>
      <c r="V83" s="751">
        <f>1000</f>
        <v>1000</v>
      </c>
      <c r="W83" s="751">
        <f t="shared" si="43"/>
        <v>1000</v>
      </c>
      <c r="X83" s="720"/>
      <c r="Y83" s="720"/>
      <c r="Z83" s="720"/>
      <c r="AA83" s="720"/>
      <c r="AB83" s="720"/>
    </row>
    <row r="84" spans="1:28" ht="19.899999999999999" customHeight="1" thickBot="1">
      <c r="A84" s="912" t="s">
        <v>1389</v>
      </c>
      <c r="B84" s="733"/>
      <c r="C84" s="734"/>
      <c r="D84" s="735"/>
      <c r="E84" s="735">
        <f>40000</f>
        <v>40000</v>
      </c>
      <c r="F84" s="736"/>
      <c r="G84" s="735"/>
      <c r="H84" s="735"/>
      <c r="I84" s="735">
        <f>E84/3</f>
        <v>13333.333333333334</v>
      </c>
      <c r="J84" s="719"/>
      <c r="K84" s="725"/>
      <c r="L84" s="719"/>
      <c r="M84" s="719"/>
      <c r="N84" s="719"/>
      <c r="O84" s="719"/>
      <c r="P84" s="748">
        <f>0</f>
        <v>0</v>
      </c>
      <c r="Q84" s="748">
        <f>0</f>
        <v>0</v>
      </c>
      <c r="R84" s="780"/>
      <c r="S84" s="751">
        <f t="shared" si="42"/>
        <v>0</v>
      </c>
      <c r="T84" s="719"/>
      <c r="U84" s="719"/>
      <c r="V84" s="751"/>
      <c r="W84" s="751">
        <f>15000</f>
        <v>15000</v>
      </c>
      <c r="X84" s="720"/>
      <c r="Y84" s="720"/>
      <c r="Z84" s="720"/>
      <c r="AA84" s="720"/>
      <c r="AB84" s="720"/>
    </row>
    <row r="85" spans="1:28" ht="15" customHeight="1" thickBot="1">
      <c r="A85" s="913" t="s">
        <v>1390</v>
      </c>
      <c r="B85" s="733">
        <v>0</v>
      </c>
      <c r="C85" s="734">
        <v>0</v>
      </c>
      <c r="D85" s="735">
        <v>0</v>
      </c>
      <c r="E85" s="735">
        <f>B85*C85*D85</f>
        <v>0</v>
      </c>
      <c r="F85" s="736">
        <v>0</v>
      </c>
      <c r="G85" s="735">
        <v>0</v>
      </c>
      <c r="H85" s="735">
        <v>0</v>
      </c>
      <c r="I85" s="737">
        <f>F85*G85*H85</f>
        <v>0</v>
      </c>
      <c r="J85" s="719"/>
      <c r="K85" s="725"/>
      <c r="L85" s="719"/>
      <c r="M85" s="719"/>
      <c r="N85" s="719"/>
      <c r="O85" s="719"/>
      <c r="P85" s="795">
        <f>0</f>
        <v>0</v>
      </c>
      <c r="Q85" s="795">
        <f>0</f>
        <v>0</v>
      </c>
      <c r="R85" s="796">
        <f>0</f>
        <v>0</v>
      </c>
      <c r="S85" s="797">
        <f>P85+Q85+R85</f>
        <v>0</v>
      </c>
      <c r="T85" s="719"/>
      <c r="U85" s="719"/>
      <c r="V85" s="751"/>
      <c r="W85" s="751"/>
      <c r="X85" s="720"/>
      <c r="Y85" s="720"/>
      <c r="Z85" s="720"/>
      <c r="AA85" s="720"/>
      <c r="AB85" s="720"/>
    </row>
    <row r="86" spans="1:28" ht="15" customHeight="1" thickBot="1">
      <c r="A86" s="920" t="s">
        <v>1391</v>
      </c>
      <c r="B86" s="799"/>
      <c r="C86" s="800"/>
      <c r="D86" s="801"/>
      <c r="E86" s="802">
        <f>SUM(E71:E85)</f>
        <v>182596.02611146765</v>
      </c>
      <c r="F86" s="803"/>
      <c r="G86" s="801"/>
      <c r="H86" s="801"/>
      <c r="I86" s="802">
        <f>I72+I73+I85</f>
        <v>142701.33077828781</v>
      </c>
      <c r="J86" s="802">
        <f t="shared" ref="J86:W86" si="44">J72+J73+J85</f>
        <v>4225000000</v>
      </c>
      <c r="K86" s="802">
        <f t="shared" si="44"/>
        <v>274625000000000</v>
      </c>
      <c r="L86" s="802">
        <f t="shared" si="44"/>
        <v>1.1602906250000001E+24</v>
      </c>
      <c r="M86" s="802">
        <f t="shared" si="44"/>
        <v>3.1864481289062502E+38</v>
      </c>
      <c r="N86" s="802">
        <f t="shared" si="44"/>
        <v>3.6972058910187136E+62</v>
      </c>
      <c r="O86" s="802">
        <f t="shared" si="44"/>
        <v>1.1780954793617746E+101</v>
      </c>
      <c r="P86" s="802">
        <f t="shared" si="44"/>
        <v>4.3556615464788685E+163</v>
      </c>
      <c r="Q86" s="802">
        <f t="shared" si="44"/>
        <v>5.1313851775366706E+264</v>
      </c>
      <c r="R86" s="802" t="e">
        <f t="shared" si="44"/>
        <v>#NUM!</v>
      </c>
      <c r="S86" s="802" t="e">
        <f t="shared" si="44"/>
        <v>#NUM!</v>
      </c>
      <c r="T86" s="802" t="e">
        <f t="shared" si="44"/>
        <v>#NUM!</v>
      </c>
      <c r="U86" s="802">
        <f t="shared" si="44"/>
        <v>25.75</v>
      </c>
      <c r="V86" s="802">
        <f t="shared" si="44"/>
        <v>49367.863525856119</v>
      </c>
      <c r="W86" s="802">
        <f t="shared" si="44"/>
        <v>68439.29288784173</v>
      </c>
      <c r="X86" s="720"/>
      <c r="Y86" s="720"/>
      <c r="Z86" s="720"/>
      <c r="AA86" s="720"/>
      <c r="AB86" s="720"/>
    </row>
    <row r="87" spans="1:28" ht="15" customHeight="1" thickBot="1">
      <c r="A87" s="921" t="s">
        <v>1392</v>
      </c>
      <c r="B87" s="805"/>
      <c r="C87" s="806"/>
      <c r="D87" s="807"/>
      <c r="E87" s="807"/>
      <c r="F87" s="808"/>
      <c r="G87" s="807"/>
      <c r="H87" s="807"/>
      <c r="I87" s="809"/>
      <c r="J87" s="809"/>
      <c r="K87" s="809"/>
      <c r="L87" s="809"/>
      <c r="M87" s="809"/>
      <c r="N87" s="809"/>
      <c r="O87" s="809"/>
      <c r="P87" s="809"/>
      <c r="Q87" s="809"/>
      <c r="R87" s="809"/>
      <c r="S87" s="809"/>
      <c r="T87" s="809"/>
      <c r="U87" s="809"/>
      <c r="V87" s="809"/>
      <c r="W87" s="809"/>
      <c r="X87" s="720"/>
      <c r="Y87" s="720"/>
      <c r="Z87" s="720"/>
      <c r="AA87" s="720"/>
      <c r="AB87" s="720"/>
    </row>
    <row r="88" spans="1:28" ht="15" customHeight="1" thickBot="1">
      <c r="A88" s="913" t="s">
        <v>1393</v>
      </c>
      <c r="B88" s="733"/>
      <c r="C88" s="734"/>
      <c r="D88" s="735"/>
      <c r="E88" s="735"/>
      <c r="F88" s="736" t="s">
        <v>1446</v>
      </c>
      <c r="G88" s="735"/>
      <c r="H88" s="735"/>
      <c r="I88" s="737">
        <f>SUM(I89:I90)</f>
        <v>53333.333333333336</v>
      </c>
      <c r="J88" s="737">
        <f t="shared" ref="J88:W88" si="45">SUM(J89:J90)</f>
        <v>0</v>
      </c>
      <c r="K88" s="737">
        <f t="shared" si="45"/>
        <v>0</v>
      </c>
      <c r="L88" s="737">
        <f t="shared" si="45"/>
        <v>0</v>
      </c>
      <c r="M88" s="737">
        <f t="shared" si="45"/>
        <v>0</v>
      </c>
      <c r="N88" s="737">
        <f t="shared" si="45"/>
        <v>0</v>
      </c>
      <c r="O88" s="737">
        <f t="shared" si="45"/>
        <v>0</v>
      </c>
      <c r="P88" s="737">
        <f t="shared" si="45"/>
        <v>0</v>
      </c>
      <c r="Q88" s="737">
        <f t="shared" si="45"/>
        <v>0</v>
      </c>
      <c r="R88" s="737">
        <f t="shared" si="45"/>
        <v>5994.0941250722235</v>
      </c>
      <c r="S88" s="737">
        <f t="shared" si="45"/>
        <v>5994.0941250722235</v>
      </c>
      <c r="T88" s="737">
        <f t="shared" si="45"/>
        <v>0</v>
      </c>
      <c r="U88" s="737">
        <f t="shared" si="45"/>
        <v>2</v>
      </c>
      <c r="V88" s="737">
        <f t="shared" si="45"/>
        <v>54000</v>
      </c>
      <c r="W88" s="737">
        <f t="shared" si="45"/>
        <v>54000</v>
      </c>
      <c r="X88" s="720"/>
      <c r="Y88" s="720"/>
      <c r="Z88" s="720"/>
      <c r="AA88" s="720"/>
      <c r="AB88" s="720"/>
    </row>
    <row r="89" spans="1:28" ht="26.25" customHeight="1" thickBot="1">
      <c r="A89" s="912" t="s">
        <v>1394</v>
      </c>
      <c r="B89" s="733" t="s">
        <v>847</v>
      </c>
      <c r="C89" s="734">
        <v>4</v>
      </c>
      <c r="D89" s="735">
        <v>31000</v>
      </c>
      <c r="E89" s="735">
        <f>D89*C89</f>
        <v>124000</v>
      </c>
      <c r="F89" s="736" t="s">
        <v>1446</v>
      </c>
      <c r="G89" s="735">
        <v>1</v>
      </c>
      <c r="H89" s="735">
        <f>E89/3</f>
        <v>41333.333333333336</v>
      </c>
      <c r="I89" s="735">
        <f>H89</f>
        <v>41333.333333333336</v>
      </c>
      <c r="J89" s="719"/>
      <c r="K89" s="725"/>
      <c r="L89" s="719"/>
      <c r="M89" s="719"/>
      <c r="N89" s="719"/>
      <c r="O89" s="719"/>
      <c r="P89" s="748">
        <f>0</f>
        <v>0</v>
      </c>
      <c r="Q89" s="748">
        <f>P89</f>
        <v>0</v>
      </c>
      <c r="R89" s="780">
        <f>('[2]Bank XOF'!G114+'[2]Bank XOF'!G115)/655.957+('[2]Bank XOF'!G167+'[2]Bank XOF'!G169)/655.957+('[2]Bank XOF'!G212+'[2]Bank XOF'!G213+'[2]Bank XOF'!G236)/655.957</f>
        <v>5994.0941250722235</v>
      </c>
      <c r="S89" s="751">
        <f>P89+Q89+R89</f>
        <v>5994.0941250722235</v>
      </c>
      <c r="T89" s="719"/>
      <c r="U89" s="751">
        <v>1</v>
      </c>
      <c r="V89" s="751">
        <f>42000</f>
        <v>42000</v>
      </c>
      <c r="W89" s="751">
        <f>U89*V89</f>
        <v>42000</v>
      </c>
      <c r="X89" s="720"/>
      <c r="Y89" s="720"/>
      <c r="Z89" s="720"/>
      <c r="AA89" s="720"/>
      <c r="AB89" s="720"/>
    </row>
    <row r="90" spans="1:28" ht="15" customHeight="1" thickBot="1">
      <c r="A90" s="912" t="s">
        <v>1395</v>
      </c>
      <c r="B90" s="733" t="s">
        <v>847</v>
      </c>
      <c r="C90" s="734">
        <v>4</v>
      </c>
      <c r="D90" s="735">
        <f>8000</f>
        <v>8000</v>
      </c>
      <c r="E90" s="735">
        <f t="shared" ref="E90:E95" si="46">C90*D90</f>
        <v>32000</v>
      </c>
      <c r="F90" s="736" t="s">
        <v>1446</v>
      </c>
      <c r="G90" s="735">
        <v>1</v>
      </c>
      <c r="H90" s="735">
        <f>12000</f>
        <v>12000</v>
      </c>
      <c r="I90" s="735">
        <f t="shared" ref="I90:T95" si="47">G90*H90</f>
        <v>12000</v>
      </c>
      <c r="J90" s="719"/>
      <c r="K90" s="725"/>
      <c r="L90" s="719"/>
      <c r="M90" s="719"/>
      <c r="N90" s="719"/>
      <c r="O90" s="719"/>
      <c r="P90" s="748">
        <f>0</f>
        <v>0</v>
      </c>
      <c r="Q90" s="748">
        <f>P90</f>
        <v>0</v>
      </c>
      <c r="R90" s="780">
        <f>0</f>
        <v>0</v>
      </c>
      <c r="S90" s="751">
        <f>P90+Q90+R90</f>
        <v>0</v>
      </c>
      <c r="T90" s="719"/>
      <c r="U90" s="751">
        <v>1</v>
      </c>
      <c r="V90" s="751">
        <f>12000</f>
        <v>12000</v>
      </c>
      <c r="W90" s="751">
        <f>U90*V90</f>
        <v>12000</v>
      </c>
      <c r="X90" s="720"/>
      <c r="Y90" s="720"/>
      <c r="Z90" s="720"/>
      <c r="AA90" s="720"/>
      <c r="AB90" s="720"/>
    </row>
    <row r="91" spans="1:28" ht="15" customHeight="1" thickBot="1">
      <c r="A91" s="913" t="s">
        <v>1395</v>
      </c>
      <c r="B91" s="733" t="s">
        <v>847</v>
      </c>
      <c r="C91" s="734">
        <v>0</v>
      </c>
      <c r="D91" s="735">
        <v>0</v>
      </c>
      <c r="E91" s="735">
        <f t="shared" si="46"/>
        <v>0</v>
      </c>
      <c r="F91" s="736" t="s">
        <v>1446</v>
      </c>
      <c r="G91" s="735">
        <v>1</v>
      </c>
      <c r="H91" s="735">
        <v>0</v>
      </c>
      <c r="I91" s="737">
        <f t="shared" si="47"/>
        <v>0</v>
      </c>
      <c r="J91" s="719"/>
      <c r="K91" s="725"/>
      <c r="L91" s="719"/>
      <c r="M91" s="719"/>
      <c r="N91" s="719"/>
      <c r="O91" s="719"/>
      <c r="P91" s="795">
        <f>0</f>
        <v>0</v>
      </c>
      <c r="Q91" s="795">
        <f>0</f>
        <v>0</v>
      </c>
      <c r="R91" s="796">
        <f>0</f>
        <v>0</v>
      </c>
      <c r="S91" s="797">
        <f>P91+Q91+R91</f>
        <v>0</v>
      </c>
      <c r="T91" s="719"/>
      <c r="U91" s="719">
        <v>0</v>
      </c>
      <c r="V91" s="719">
        <v>0</v>
      </c>
      <c r="W91" s="719">
        <v>0</v>
      </c>
      <c r="X91" s="720"/>
      <c r="Y91" s="720"/>
      <c r="Z91" s="720"/>
      <c r="AA91" s="720"/>
      <c r="AB91" s="720"/>
    </row>
    <row r="92" spans="1:28" ht="15" customHeight="1" thickBot="1">
      <c r="A92" s="913" t="s">
        <v>1396</v>
      </c>
      <c r="B92" s="733"/>
      <c r="C92" s="734"/>
      <c r="D92" s="735"/>
      <c r="E92" s="735"/>
      <c r="F92" s="736"/>
      <c r="G92" s="735"/>
      <c r="H92" s="735"/>
      <c r="I92" s="737">
        <f>SUM(I93:I94)</f>
        <v>24000</v>
      </c>
      <c r="J92" s="737">
        <f t="shared" ref="J92:W92" si="48">SUM(J93:J94)</f>
        <v>0</v>
      </c>
      <c r="K92" s="737">
        <f t="shared" si="48"/>
        <v>0</v>
      </c>
      <c r="L92" s="737">
        <f t="shared" si="48"/>
        <v>0</v>
      </c>
      <c r="M92" s="737">
        <f t="shared" si="48"/>
        <v>0</v>
      </c>
      <c r="N92" s="737">
        <f t="shared" si="48"/>
        <v>0</v>
      </c>
      <c r="O92" s="737">
        <f t="shared" si="48"/>
        <v>0</v>
      </c>
      <c r="P92" s="737">
        <f t="shared" si="48"/>
        <v>0</v>
      </c>
      <c r="Q92" s="737">
        <f t="shared" si="48"/>
        <v>0</v>
      </c>
      <c r="R92" s="737">
        <f t="shared" si="48"/>
        <v>2542.7505156588009</v>
      </c>
      <c r="S92" s="737">
        <f t="shared" si="48"/>
        <v>2542.7505156588009</v>
      </c>
      <c r="T92" s="737">
        <f t="shared" si="48"/>
        <v>0</v>
      </c>
      <c r="U92" s="737">
        <f t="shared" si="48"/>
        <v>2</v>
      </c>
      <c r="V92" s="737">
        <f t="shared" si="48"/>
        <v>24000</v>
      </c>
      <c r="W92" s="737">
        <f t="shared" si="48"/>
        <v>24000</v>
      </c>
      <c r="X92" s="720"/>
      <c r="Y92" s="720"/>
      <c r="Z92" s="720"/>
      <c r="AA92" s="720"/>
      <c r="AB92" s="720"/>
    </row>
    <row r="93" spans="1:28" ht="15" customHeight="1" thickBot="1">
      <c r="A93" s="912" t="s">
        <v>1397</v>
      </c>
      <c r="B93" s="733" t="s">
        <v>847</v>
      </c>
      <c r="C93" s="734">
        <v>4</v>
      </c>
      <c r="D93" s="735">
        <v>8000</v>
      </c>
      <c r="E93" s="735">
        <f t="shared" si="46"/>
        <v>32000</v>
      </c>
      <c r="F93" s="736" t="s">
        <v>1446</v>
      </c>
      <c r="G93" s="735">
        <v>1</v>
      </c>
      <c r="H93" s="735">
        <v>14000</v>
      </c>
      <c r="I93" s="735">
        <f t="shared" si="47"/>
        <v>14000</v>
      </c>
      <c r="J93" s="719"/>
      <c r="K93" s="725"/>
      <c r="L93" s="719"/>
      <c r="M93" s="719"/>
      <c r="N93" s="719"/>
      <c r="O93" s="719"/>
      <c r="P93" s="748">
        <f>0</f>
        <v>0</v>
      </c>
      <c r="Q93" s="748">
        <f>0</f>
        <v>0</v>
      </c>
      <c r="R93" s="780">
        <f>('[2]Bank XOF'!G211+'[2]Bank XOF'!G214)/655.957</f>
        <v>1628.0564122343385</v>
      </c>
      <c r="S93" s="751">
        <f>P93+Q93+R93</f>
        <v>1628.0564122343385</v>
      </c>
      <c r="T93" s="719"/>
      <c r="U93" s="751">
        <f>G93</f>
        <v>1</v>
      </c>
      <c r="V93" s="751">
        <f>H93</f>
        <v>14000</v>
      </c>
      <c r="W93" s="751">
        <f>U93*V93</f>
        <v>14000</v>
      </c>
      <c r="X93" s="720"/>
      <c r="Y93" s="720"/>
      <c r="Z93" s="720"/>
      <c r="AA93" s="720"/>
      <c r="AB93" s="720"/>
    </row>
    <row r="94" spans="1:28" ht="15" customHeight="1" thickBot="1">
      <c r="A94" s="912" t="s">
        <v>1398</v>
      </c>
      <c r="B94" s="733" t="s">
        <v>847</v>
      </c>
      <c r="C94" s="734">
        <v>4</v>
      </c>
      <c r="D94" s="735">
        <f>10000</f>
        <v>10000</v>
      </c>
      <c r="E94" s="735">
        <f t="shared" si="46"/>
        <v>40000</v>
      </c>
      <c r="F94" s="736" t="s">
        <v>1446</v>
      </c>
      <c r="G94" s="735">
        <v>1</v>
      </c>
      <c r="H94" s="735">
        <f>10000</f>
        <v>10000</v>
      </c>
      <c r="I94" s="735">
        <f t="shared" si="47"/>
        <v>10000</v>
      </c>
      <c r="J94" s="719"/>
      <c r="K94" s="725"/>
      <c r="L94" s="719"/>
      <c r="M94" s="719"/>
      <c r="N94" s="719"/>
      <c r="O94" s="719"/>
      <c r="P94" s="748">
        <f>0</f>
        <v>0</v>
      </c>
      <c r="Q94" s="748">
        <f>P94</f>
        <v>0</v>
      </c>
      <c r="R94" s="780">
        <f>'[2]Bank XOF'!G113/655.957</f>
        <v>914.69410342446224</v>
      </c>
      <c r="S94" s="751">
        <f>P94+Q94+R94</f>
        <v>914.69410342446224</v>
      </c>
      <c r="T94" s="719"/>
      <c r="U94" s="751">
        <f>G94</f>
        <v>1</v>
      </c>
      <c r="V94" s="751">
        <f>10000</f>
        <v>10000</v>
      </c>
      <c r="W94" s="751">
        <f>U94*V94</f>
        <v>10000</v>
      </c>
      <c r="X94" s="720"/>
      <c r="Y94" s="720"/>
      <c r="Z94" s="720"/>
      <c r="AA94" s="720"/>
      <c r="AB94" s="720"/>
    </row>
    <row r="95" spans="1:28" ht="25.9" customHeight="1" thickBot="1">
      <c r="A95" s="913" t="s">
        <v>1399</v>
      </c>
      <c r="B95" s="733" t="s">
        <v>847</v>
      </c>
      <c r="C95" s="734">
        <v>4</v>
      </c>
      <c r="D95" s="735">
        <v>30265</v>
      </c>
      <c r="E95" s="735">
        <f t="shared" si="46"/>
        <v>121060</v>
      </c>
      <c r="F95" s="736" t="s">
        <v>1446</v>
      </c>
      <c r="G95" s="735">
        <v>1</v>
      </c>
      <c r="H95" s="735">
        <f>D95</f>
        <v>30265</v>
      </c>
      <c r="I95" s="737">
        <f t="shared" si="47"/>
        <v>30265</v>
      </c>
      <c r="J95" s="737">
        <f t="shared" si="47"/>
        <v>915970225</v>
      </c>
      <c r="K95" s="737">
        <f t="shared" si="47"/>
        <v>27721838859625</v>
      </c>
      <c r="L95" s="737">
        <f t="shared" si="47"/>
        <v>2.5392378977664457E+22</v>
      </c>
      <c r="M95" s="737">
        <f t="shared" si="47"/>
        <v>7.0392343828134354E+35</v>
      </c>
      <c r="N95" s="737">
        <f t="shared" si="47"/>
        <v>1.7874290716100472E+58</v>
      </c>
      <c r="O95" s="737">
        <f t="shared" si="47"/>
        <v>1.2582132177717742E+94</v>
      </c>
      <c r="P95" s="737">
        <f t="shared" si="47"/>
        <v>2.2489668837292925E+152</v>
      </c>
      <c r="Q95" s="737">
        <f t="shared" si="47"/>
        <v>2.8296798594391927E+246</v>
      </c>
      <c r="R95" s="737" t="e">
        <f t="shared" si="47"/>
        <v>#NUM!</v>
      </c>
      <c r="S95" s="737" t="e">
        <f t="shared" si="47"/>
        <v>#NUM!</v>
      </c>
      <c r="T95" s="737" t="e">
        <f t="shared" si="47"/>
        <v>#NUM!</v>
      </c>
      <c r="U95" s="735">
        <v>1</v>
      </c>
      <c r="V95" s="735">
        <v>30265</v>
      </c>
      <c r="W95" s="737">
        <f>U95*V95</f>
        <v>30265</v>
      </c>
      <c r="X95" s="720"/>
      <c r="Y95" s="720"/>
      <c r="Z95" s="720"/>
      <c r="AA95" s="720"/>
      <c r="AB95" s="720"/>
    </row>
    <row r="96" spans="1:28" ht="15" customHeight="1" thickBot="1">
      <c r="A96" s="912" t="s">
        <v>1400</v>
      </c>
      <c r="B96" s="733"/>
      <c r="C96" s="734"/>
      <c r="D96" s="735"/>
      <c r="E96" s="735"/>
      <c r="F96" s="736"/>
      <c r="G96" s="735"/>
      <c r="H96" s="735"/>
      <c r="I96" s="737"/>
      <c r="J96" s="719"/>
      <c r="K96" s="725"/>
      <c r="L96" s="719"/>
      <c r="M96" s="719"/>
      <c r="N96" s="719"/>
      <c r="O96" s="719"/>
      <c r="P96" s="748"/>
      <c r="Q96" s="748"/>
      <c r="R96" s="779"/>
      <c r="S96" s="719"/>
      <c r="T96" s="719"/>
      <c r="U96" s="719"/>
      <c r="V96" s="719"/>
      <c r="W96" s="719"/>
      <c r="X96" s="720"/>
      <c r="Y96" s="720"/>
      <c r="Z96" s="720"/>
      <c r="AA96" s="720"/>
      <c r="AB96" s="720"/>
    </row>
    <row r="97" spans="1:28" ht="15" customHeight="1" thickBot="1">
      <c r="A97" s="922" t="s">
        <v>1401</v>
      </c>
      <c r="B97" s="811"/>
      <c r="C97" s="812"/>
      <c r="D97" s="813"/>
      <c r="E97" s="814">
        <f>SUM(E87:E96)</f>
        <v>349060</v>
      </c>
      <c r="F97" s="815"/>
      <c r="G97" s="813"/>
      <c r="H97" s="813"/>
      <c r="I97" s="814">
        <f>I88+I91+I92+I95</f>
        <v>107598.33333333334</v>
      </c>
      <c r="J97" s="814">
        <f t="shared" ref="J97:W97" si="49">J88+J91+J92+J95</f>
        <v>915970225</v>
      </c>
      <c r="K97" s="814">
        <f t="shared" si="49"/>
        <v>27721838859625</v>
      </c>
      <c r="L97" s="814">
        <f t="shared" si="49"/>
        <v>2.5392378977664457E+22</v>
      </c>
      <c r="M97" s="814">
        <f t="shared" si="49"/>
        <v>7.0392343828134354E+35</v>
      </c>
      <c r="N97" s="814">
        <f t="shared" si="49"/>
        <v>1.7874290716100472E+58</v>
      </c>
      <c r="O97" s="814">
        <f t="shared" si="49"/>
        <v>1.2582132177717742E+94</v>
      </c>
      <c r="P97" s="814">
        <f t="shared" si="49"/>
        <v>2.2489668837292925E+152</v>
      </c>
      <c r="Q97" s="814">
        <f t="shared" si="49"/>
        <v>2.8296798594391927E+246</v>
      </c>
      <c r="R97" s="814" t="e">
        <f t="shared" si="49"/>
        <v>#NUM!</v>
      </c>
      <c r="S97" s="814" t="e">
        <f t="shared" si="49"/>
        <v>#NUM!</v>
      </c>
      <c r="T97" s="814" t="e">
        <f t="shared" si="49"/>
        <v>#NUM!</v>
      </c>
      <c r="U97" s="814">
        <f t="shared" si="49"/>
        <v>5</v>
      </c>
      <c r="V97" s="814">
        <f t="shared" si="49"/>
        <v>108265</v>
      </c>
      <c r="W97" s="814">
        <f t="shared" si="49"/>
        <v>108265</v>
      </c>
      <c r="X97" s="720"/>
      <c r="Y97" s="720"/>
      <c r="Z97" s="720"/>
      <c r="AA97" s="720"/>
      <c r="AB97" s="720"/>
    </row>
    <row r="98" spans="1:28" ht="15" customHeight="1" thickBot="1">
      <c r="A98" s="923" t="s">
        <v>1402</v>
      </c>
      <c r="B98" s="817"/>
      <c r="C98" s="818"/>
      <c r="D98" s="819"/>
      <c r="E98" s="819"/>
      <c r="F98" s="820"/>
      <c r="G98" s="819"/>
      <c r="H98" s="819"/>
      <c r="I98" s="819"/>
      <c r="J98" s="819"/>
      <c r="K98" s="819"/>
      <c r="L98" s="819"/>
      <c r="M98" s="819"/>
      <c r="N98" s="819"/>
      <c r="O98" s="819"/>
      <c r="P98" s="819"/>
      <c r="Q98" s="819"/>
      <c r="R98" s="819"/>
      <c r="S98" s="819"/>
      <c r="T98" s="819"/>
      <c r="U98" s="819"/>
      <c r="V98" s="819"/>
      <c r="W98" s="819"/>
      <c r="X98" s="720"/>
      <c r="Y98" s="720"/>
      <c r="Z98" s="720"/>
      <c r="AA98" s="720"/>
      <c r="AB98" s="720"/>
    </row>
    <row r="99" spans="1:28" ht="15" customHeight="1" thickBot="1">
      <c r="A99" s="913" t="s">
        <v>1403</v>
      </c>
      <c r="B99" s="733"/>
      <c r="C99" s="734"/>
      <c r="D99" s="735"/>
      <c r="E99" s="735"/>
      <c r="F99" s="736"/>
      <c r="G99" s="735"/>
      <c r="H99" s="735"/>
      <c r="I99" s="737">
        <f>0</f>
        <v>0</v>
      </c>
      <c r="J99" s="737">
        <f>0</f>
        <v>0</v>
      </c>
      <c r="K99" s="737">
        <f>0</f>
        <v>0</v>
      </c>
      <c r="L99" s="737">
        <f>0</f>
        <v>0</v>
      </c>
      <c r="M99" s="737">
        <f>0</f>
        <v>0</v>
      </c>
      <c r="N99" s="737">
        <f>0</f>
        <v>0</v>
      </c>
      <c r="O99" s="737">
        <f>0</f>
        <v>0</v>
      </c>
      <c r="P99" s="737">
        <f>0</f>
        <v>0</v>
      </c>
      <c r="Q99" s="737">
        <f>0</f>
        <v>0</v>
      </c>
      <c r="R99" s="737">
        <f>0</f>
        <v>0</v>
      </c>
      <c r="S99" s="737">
        <f>0</f>
        <v>0</v>
      </c>
      <c r="T99" s="737">
        <f>0</f>
        <v>0</v>
      </c>
      <c r="U99" s="737">
        <f>0</f>
        <v>0</v>
      </c>
      <c r="V99" s="737">
        <f>0</f>
        <v>0</v>
      </c>
      <c r="W99" s="737">
        <f>0</f>
        <v>0</v>
      </c>
      <c r="X99" s="720"/>
      <c r="Y99" s="720"/>
      <c r="Z99" s="720"/>
      <c r="AA99" s="720"/>
      <c r="AB99" s="720"/>
    </row>
    <row r="100" spans="1:28" s="821" customFormat="1" ht="15" customHeight="1" thickBot="1">
      <c r="A100" s="913" t="s">
        <v>1404</v>
      </c>
      <c r="B100" s="756"/>
      <c r="C100" s="762"/>
      <c r="D100" s="737"/>
      <c r="E100" s="737">
        <f>SUM(E101:E102)</f>
        <v>230400</v>
      </c>
      <c r="F100" s="727"/>
      <c r="G100" s="737"/>
      <c r="H100" s="737"/>
      <c r="I100" s="737">
        <f>SUM(I101:I105)</f>
        <v>174600</v>
      </c>
      <c r="J100" s="737">
        <f t="shared" ref="J100:W100" si="50">SUM(J101:J105)</f>
        <v>0</v>
      </c>
      <c r="K100" s="737">
        <f t="shared" si="50"/>
        <v>0</v>
      </c>
      <c r="L100" s="737">
        <f t="shared" si="50"/>
        <v>0</v>
      </c>
      <c r="M100" s="737">
        <f t="shared" si="50"/>
        <v>0</v>
      </c>
      <c r="N100" s="737">
        <f t="shared" si="50"/>
        <v>0</v>
      </c>
      <c r="O100" s="737">
        <f t="shared" si="50"/>
        <v>0</v>
      </c>
      <c r="P100" s="737">
        <f t="shared" si="50"/>
        <v>0</v>
      </c>
      <c r="Q100" s="737">
        <f t="shared" si="50"/>
        <v>0</v>
      </c>
      <c r="R100" s="737">
        <f t="shared" si="50"/>
        <v>0</v>
      </c>
      <c r="S100" s="737">
        <f t="shared" si="50"/>
        <v>0</v>
      </c>
      <c r="T100" s="737">
        <f t="shared" si="50"/>
        <v>0</v>
      </c>
      <c r="U100" s="737">
        <f t="shared" si="50"/>
        <v>202.5</v>
      </c>
      <c r="V100" s="737">
        <f t="shared" si="50"/>
        <v>6000</v>
      </c>
      <c r="W100" s="737">
        <f t="shared" si="50"/>
        <v>189000</v>
      </c>
      <c r="X100" s="782"/>
      <c r="Y100" s="782"/>
      <c r="Z100" s="782"/>
      <c r="AA100" s="782"/>
      <c r="AB100" s="782"/>
    </row>
    <row r="101" spans="1:28" ht="15" customHeight="1" thickBot="1">
      <c r="A101" s="912" t="s">
        <v>1405</v>
      </c>
      <c r="B101" s="733" t="s">
        <v>854</v>
      </c>
      <c r="C101" s="734">
        <f>3*3*4*4</f>
        <v>144</v>
      </c>
      <c r="D101" s="735">
        <f>1000</f>
        <v>1000</v>
      </c>
      <c r="E101" s="735">
        <f>D101*C101</f>
        <v>144000</v>
      </c>
      <c r="F101" s="736" t="s">
        <v>1447</v>
      </c>
      <c r="G101" s="735">
        <f>C101/4</f>
        <v>36</v>
      </c>
      <c r="H101" s="735">
        <f>D101</f>
        <v>1000</v>
      </c>
      <c r="I101" s="735">
        <f>H101*G101</f>
        <v>36000</v>
      </c>
      <c r="J101" s="719"/>
      <c r="K101" s="725"/>
      <c r="L101" s="719"/>
      <c r="M101" s="719"/>
      <c r="N101" s="719"/>
      <c r="O101" s="719"/>
      <c r="P101" s="748">
        <f>0</f>
        <v>0</v>
      </c>
      <c r="Q101" s="748">
        <f>0</f>
        <v>0</v>
      </c>
      <c r="R101" s="748">
        <f>0</f>
        <v>0</v>
      </c>
      <c r="S101" s="751">
        <f>P101+Q101+R101</f>
        <v>0</v>
      </c>
      <c r="T101" s="719"/>
      <c r="U101" s="719">
        <v>36</v>
      </c>
      <c r="V101" s="751">
        <f>1000</f>
        <v>1000</v>
      </c>
      <c r="W101" s="751">
        <f>U101*V101</f>
        <v>36000</v>
      </c>
      <c r="X101" s="720"/>
      <c r="Y101" s="720"/>
      <c r="Z101" s="720"/>
      <c r="AA101" s="720"/>
      <c r="AB101" s="720"/>
    </row>
    <row r="102" spans="1:28" ht="15" customHeight="1" thickBot="1">
      <c r="A102" s="912" t="s">
        <v>1406</v>
      </c>
      <c r="B102" s="733" t="s">
        <v>854</v>
      </c>
      <c r="C102" s="734">
        <f>1*3*4*6</f>
        <v>72</v>
      </c>
      <c r="D102" s="735">
        <f>1200</f>
        <v>1200</v>
      </c>
      <c r="E102" s="735">
        <f>D102*C102</f>
        <v>86400</v>
      </c>
      <c r="F102" s="736" t="s">
        <v>1447</v>
      </c>
      <c r="G102" s="735">
        <f>C102/4</f>
        <v>18</v>
      </c>
      <c r="H102" s="735">
        <f>D102</f>
        <v>1200</v>
      </c>
      <c r="I102" s="735">
        <f>H102*G102</f>
        <v>21600</v>
      </c>
      <c r="J102" s="719"/>
      <c r="K102" s="725"/>
      <c r="L102" s="719"/>
      <c r="M102" s="719"/>
      <c r="N102" s="719"/>
      <c r="O102" s="719"/>
      <c r="P102" s="748">
        <f>0</f>
        <v>0</v>
      </c>
      <c r="Q102" s="748">
        <f>0</f>
        <v>0</v>
      </c>
      <c r="R102" s="748">
        <f>0</f>
        <v>0</v>
      </c>
      <c r="S102" s="751">
        <f>P102+Q102+R102</f>
        <v>0</v>
      </c>
      <c r="T102" s="719"/>
      <c r="U102" s="719">
        <f>30</f>
        <v>30</v>
      </c>
      <c r="V102" s="751">
        <f>1200</f>
        <v>1200</v>
      </c>
      <c r="W102" s="751">
        <f>U102*V102</f>
        <v>36000</v>
      </c>
      <c r="X102" s="720"/>
      <c r="Y102" s="720"/>
      <c r="Z102" s="720"/>
      <c r="AA102" s="720"/>
      <c r="AB102" s="720"/>
    </row>
    <row r="103" spans="1:28" s="826" customFormat="1" ht="28.15" customHeight="1" thickBot="1">
      <c r="A103" s="912" t="s">
        <v>1407</v>
      </c>
      <c r="B103" s="733" t="s">
        <v>857</v>
      </c>
      <c r="C103" s="734">
        <f>4*4*2</f>
        <v>32</v>
      </c>
      <c r="D103" s="735">
        <f>3000</f>
        <v>3000</v>
      </c>
      <c r="E103" s="735">
        <f>D103*C103</f>
        <v>96000</v>
      </c>
      <c r="F103" s="736" t="s">
        <v>1448</v>
      </c>
      <c r="G103" s="735">
        <f>C103/4+16</f>
        <v>24</v>
      </c>
      <c r="H103" s="735">
        <f>D103</f>
        <v>3000</v>
      </c>
      <c r="I103" s="735">
        <f>H103*G103</f>
        <v>72000</v>
      </c>
      <c r="J103" s="822"/>
      <c r="K103" s="823"/>
      <c r="L103" s="822"/>
      <c r="M103" s="822"/>
      <c r="N103" s="822"/>
      <c r="O103" s="822"/>
      <c r="P103" s="748">
        <f>0</f>
        <v>0</v>
      </c>
      <c r="Q103" s="748">
        <f>0</f>
        <v>0</v>
      </c>
      <c r="R103" s="748">
        <f>0</f>
        <v>0</v>
      </c>
      <c r="S103" s="751">
        <f>P103+Q103+R103</f>
        <v>0</v>
      </c>
      <c r="T103" s="822"/>
      <c r="U103" s="824">
        <f>G103</f>
        <v>24</v>
      </c>
      <c r="V103" s="824">
        <f>H103</f>
        <v>3000</v>
      </c>
      <c r="W103" s="824">
        <f>U103*V103</f>
        <v>72000</v>
      </c>
      <c r="X103" s="825"/>
      <c r="Y103" s="825"/>
      <c r="Z103" s="825"/>
      <c r="AA103" s="825"/>
      <c r="AB103" s="825"/>
    </row>
    <row r="104" spans="1:28" s="826" customFormat="1" ht="31.9" customHeight="1" thickBot="1">
      <c r="A104" s="912" t="s">
        <v>1408</v>
      </c>
      <c r="B104" s="733" t="s">
        <v>859</v>
      </c>
      <c r="C104" s="734">
        <f>195</f>
        <v>195</v>
      </c>
      <c r="D104" s="735">
        <f>400</f>
        <v>400</v>
      </c>
      <c r="E104" s="735">
        <f>D104*C104</f>
        <v>78000</v>
      </c>
      <c r="F104" s="736" t="s">
        <v>1449</v>
      </c>
      <c r="G104" s="735">
        <f>C104/2</f>
        <v>97.5</v>
      </c>
      <c r="H104" s="735">
        <f>D104</f>
        <v>400</v>
      </c>
      <c r="I104" s="735">
        <f>H104*G104</f>
        <v>39000</v>
      </c>
      <c r="J104" s="822"/>
      <c r="K104" s="823"/>
      <c r="L104" s="822"/>
      <c r="M104" s="822"/>
      <c r="N104" s="822"/>
      <c r="O104" s="822"/>
      <c r="P104" s="748">
        <f>0</f>
        <v>0</v>
      </c>
      <c r="Q104" s="748">
        <f>0</f>
        <v>0</v>
      </c>
      <c r="R104" s="748">
        <f>0</f>
        <v>0</v>
      </c>
      <c r="S104" s="751">
        <f>P104+Q104+R104</f>
        <v>0</v>
      </c>
      <c r="T104" s="822"/>
      <c r="U104" s="824">
        <f>G104</f>
        <v>97.5</v>
      </c>
      <c r="V104" s="824">
        <f>H104</f>
        <v>400</v>
      </c>
      <c r="W104" s="824">
        <f>U104*V104</f>
        <v>39000</v>
      </c>
      <c r="X104" s="825"/>
      <c r="Y104" s="825"/>
      <c r="Z104" s="825"/>
      <c r="AA104" s="825"/>
      <c r="AB104" s="825"/>
    </row>
    <row r="105" spans="1:28" ht="15" customHeight="1" thickBot="1">
      <c r="A105" s="912" t="s">
        <v>1409</v>
      </c>
      <c r="B105" s="733" t="s">
        <v>859</v>
      </c>
      <c r="C105" s="734">
        <f>30</f>
        <v>30</v>
      </c>
      <c r="D105" s="735">
        <f>D104</f>
        <v>400</v>
      </c>
      <c r="E105" s="735">
        <f>C105*D105</f>
        <v>12000</v>
      </c>
      <c r="F105" s="736" t="s">
        <v>1449</v>
      </c>
      <c r="G105" s="735">
        <f>C105/2</f>
        <v>15</v>
      </c>
      <c r="H105" s="735">
        <f>D105</f>
        <v>400</v>
      </c>
      <c r="I105" s="735">
        <f>H105*G105</f>
        <v>6000</v>
      </c>
      <c r="J105" s="719"/>
      <c r="K105" s="725"/>
      <c r="L105" s="719"/>
      <c r="M105" s="719"/>
      <c r="N105" s="719"/>
      <c r="O105" s="719"/>
      <c r="P105" s="748">
        <f>0</f>
        <v>0</v>
      </c>
      <c r="Q105" s="748">
        <f>0</f>
        <v>0</v>
      </c>
      <c r="R105" s="748">
        <f>0</f>
        <v>0</v>
      </c>
      <c r="S105" s="751">
        <f>P105+Q105+R105</f>
        <v>0</v>
      </c>
      <c r="T105" s="719"/>
      <c r="U105" s="751">
        <f>15</f>
        <v>15</v>
      </c>
      <c r="V105" s="751">
        <f>400</f>
        <v>400</v>
      </c>
      <c r="W105" s="824">
        <f>U105*V105</f>
        <v>6000</v>
      </c>
      <c r="X105" s="720"/>
      <c r="Y105" s="720"/>
      <c r="Z105" s="720"/>
      <c r="AA105" s="720"/>
      <c r="AB105" s="720"/>
    </row>
    <row r="106" spans="1:28" s="821" customFormat="1" ht="15" customHeight="1" thickBot="1">
      <c r="A106" s="913" t="s">
        <v>1410</v>
      </c>
      <c r="B106" s="756"/>
      <c r="C106" s="762"/>
      <c r="D106" s="737"/>
      <c r="E106" s="737">
        <f>E107</f>
        <v>40000</v>
      </c>
      <c r="F106" s="727"/>
      <c r="G106" s="737"/>
      <c r="H106" s="737"/>
      <c r="I106" s="737">
        <f>I107</f>
        <v>10000</v>
      </c>
      <c r="J106" s="737">
        <f t="shared" ref="J106:W106" si="51">J107</f>
        <v>0</v>
      </c>
      <c r="K106" s="737">
        <f t="shared" si="51"/>
        <v>0</v>
      </c>
      <c r="L106" s="737">
        <f t="shared" si="51"/>
        <v>0</v>
      </c>
      <c r="M106" s="737">
        <f t="shared" si="51"/>
        <v>0</v>
      </c>
      <c r="N106" s="737">
        <f t="shared" si="51"/>
        <v>0</v>
      </c>
      <c r="O106" s="737">
        <f t="shared" si="51"/>
        <v>0</v>
      </c>
      <c r="P106" s="737">
        <f t="shared" si="51"/>
        <v>0</v>
      </c>
      <c r="Q106" s="737">
        <f t="shared" si="51"/>
        <v>0</v>
      </c>
      <c r="R106" s="737">
        <f t="shared" si="51"/>
        <v>0</v>
      </c>
      <c r="S106" s="737">
        <f t="shared" si="51"/>
        <v>0</v>
      </c>
      <c r="T106" s="737">
        <f t="shared" si="51"/>
        <v>0</v>
      </c>
      <c r="U106" s="737">
        <f t="shared" si="51"/>
        <v>1</v>
      </c>
      <c r="V106" s="737">
        <f t="shared" si="51"/>
        <v>10000</v>
      </c>
      <c r="W106" s="737">
        <f t="shared" si="51"/>
        <v>10000</v>
      </c>
      <c r="X106" s="782"/>
      <c r="Y106" s="782"/>
      <c r="Z106" s="782"/>
      <c r="AA106" s="782"/>
      <c r="AB106" s="782"/>
    </row>
    <row r="107" spans="1:28" ht="15" customHeight="1" thickBot="1">
      <c r="A107" s="912" t="s">
        <v>1411</v>
      </c>
      <c r="B107" s="827" t="s">
        <v>863</v>
      </c>
      <c r="C107" s="828">
        <v>4</v>
      </c>
      <c r="D107" s="735">
        <v>10000</v>
      </c>
      <c r="E107" s="735">
        <f>C107*D107</f>
        <v>40000</v>
      </c>
      <c r="F107" s="736" t="s">
        <v>1450</v>
      </c>
      <c r="G107" s="735">
        <v>1</v>
      </c>
      <c r="H107" s="735">
        <v>10000</v>
      </c>
      <c r="I107" s="735">
        <f>G107*H107</f>
        <v>10000</v>
      </c>
      <c r="J107" s="719"/>
      <c r="K107" s="725"/>
      <c r="L107" s="719"/>
      <c r="M107" s="719"/>
      <c r="N107" s="719"/>
      <c r="O107" s="719"/>
      <c r="P107" s="748">
        <f>0</f>
        <v>0</v>
      </c>
      <c r="Q107" s="748">
        <f>0</f>
        <v>0</v>
      </c>
      <c r="R107" s="780">
        <f>0</f>
        <v>0</v>
      </c>
      <c r="S107" s="751">
        <f>0</f>
        <v>0</v>
      </c>
      <c r="T107" s="719"/>
      <c r="U107" s="751">
        <v>1</v>
      </c>
      <c r="V107" s="751">
        <v>10000</v>
      </c>
      <c r="W107" s="751">
        <v>10000</v>
      </c>
      <c r="X107" s="720"/>
      <c r="Y107" s="720"/>
      <c r="Z107" s="720"/>
      <c r="AA107" s="720"/>
      <c r="AB107" s="720"/>
    </row>
    <row r="108" spans="1:28" ht="15" customHeight="1" thickBot="1">
      <c r="A108" s="913" t="s">
        <v>1412</v>
      </c>
      <c r="B108" s="827"/>
      <c r="C108" s="828"/>
      <c r="D108" s="735"/>
      <c r="E108" s="735"/>
      <c r="F108" s="736"/>
      <c r="G108" s="735"/>
      <c r="H108" s="735"/>
      <c r="I108" s="737">
        <f>0</f>
        <v>0</v>
      </c>
      <c r="J108" s="737">
        <f>0</f>
        <v>0</v>
      </c>
      <c r="K108" s="737">
        <f>0</f>
        <v>0</v>
      </c>
      <c r="L108" s="737">
        <f>0</f>
        <v>0</v>
      </c>
      <c r="M108" s="737">
        <f>0</f>
        <v>0</v>
      </c>
      <c r="N108" s="737">
        <f>0</f>
        <v>0</v>
      </c>
      <c r="O108" s="737">
        <f>0</f>
        <v>0</v>
      </c>
      <c r="P108" s="737">
        <f>0</f>
        <v>0</v>
      </c>
      <c r="Q108" s="737">
        <f>0</f>
        <v>0</v>
      </c>
      <c r="R108" s="737">
        <f>0</f>
        <v>0</v>
      </c>
      <c r="S108" s="737">
        <f>0</f>
        <v>0</v>
      </c>
      <c r="T108" s="737">
        <f>0</f>
        <v>0</v>
      </c>
      <c r="U108" s="737">
        <f>0</f>
        <v>0</v>
      </c>
      <c r="V108" s="737">
        <f>0</f>
        <v>0</v>
      </c>
      <c r="W108" s="737">
        <f>0</f>
        <v>0</v>
      </c>
      <c r="X108" s="720"/>
      <c r="Y108" s="720"/>
      <c r="Z108" s="720"/>
      <c r="AA108" s="720"/>
      <c r="AB108" s="720"/>
    </row>
    <row r="109" spans="1:28" s="821" customFormat="1" ht="15" customHeight="1" thickBot="1">
      <c r="A109" s="913" t="s">
        <v>1413</v>
      </c>
      <c r="B109" s="829"/>
      <c r="C109" s="830"/>
      <c r="D109" s="737"/>
      <c r="E109" s="737">
        <f>SUM(E110:E111)</f>
        <v>67077.567584460572</v>
      </c>
      <c r="F109" s="727"/>
      <c r="G109" s="737"/>
      <c r="H109" s="737"/>
      <c r="I109" s="737">
        <f>SUM(I110:I111)</f>
        <v>18781.261576597244</v>
      </c>
      <c r="J109" s="737">
        <f t="shared" ref="J109:W109" si="52">SUM(J110:J111)</f>
        <v>0</v>
      </c>
      <c r="K109" s="737">
        <f t="shared" si="52"/>
        <v>0</v>
      </c>
      <c r="L109" s="737">
        <f t="shared" si="52"/>
        <v>0</v>
      </c>
      <c r="M109" s="737">
        <f t="shared" si="52"/>
        <v>0</v>
      </c>
      <c r="N109" s="737">
        <f t="shared" si="52"/>
        <v>0</v>
      </c>
      <c r="O109" s="737">
        <f t="shared" si="52"/>
        <v>0</v>
      </c>
      <c r="P109" s="737">
        <f t="shared" si="52"/>
        <v>0</v>
      </c>
      <c r="Q109" s="737">
        <f t="shared" si="52"/>
        <v>0</v>
      </c>
      <c r="R109" s="737">
        <f t="shared" si="52"/>
        <v>0</v>
      </c>
      <c r="S109" s="737">
        <f t="shared" si="52"/>
        <v>0</v>
      </c>
      <c r="T109" s="737">
        <f t="shared" si="52"/>
        <v>0</v>
      </c>
      <c r="U109" s="737">
        <f t="shared" si="52"/>
        <v>646.97</v>
      </c>
      <c r="V109" s="737">
        <f t="shared" si="52"/>
        <v>625.04</v>
      </c>
      <c r="W109" s="737">
        <f t="shared" si="52"/>
        <v>18778.222800000003</v>
      </c>
      <c r="X109" s="782"/>
      <c r="Y109" s="782"/>
      <c r="Z109" s="782"/>
      <c r="AA109" s="782"/>
      <c r="AB109" s="782"/>
    </row>
    <row r="110" spans="1:28" ht="30.75" customHeight="1" thickBot="1">
      <c r="A110" s="912" t="s">
        <v>1414</v>
      </c>
      <c r="B110" s="831" t="s">
        <v>867</v>
      </c>
      <c r="C110" s="828">
        <f>500*4</f>
        <v>2000</v>
      </c>
      <c r="D110" s="735">
        <f>10000/655.957</f>
        <v>15.244901723741037</v>
      </c>
      <c r="E110" s="735">
        <f>C110*D110</f>
        <v>30489.803447482074</v>
      </c>
      <c r="F110" s="736" t="s">
        <v>1451</v>
      </c>
      <c r="G110" s="735">
        <f>C110/4+30+50+51.97</f>
        <v>631.97</v>
      </c>
      <c r="H110" s="735">
        <f>D110</f>
        <v>15.244901723741037</v>
      </c>
      <c r="I110" s="735">
        <f>G110*H110</f>
        <v>9634.3205423526233</v>
      </c>
      <c r="J110" s="719"/>
      <c r="K110" s="725"/>
      <c r="L110" s="719"/>
      <c r="M110" s="719"/>
      <c r="N110" s="719"/>
      <c r="O110" s="719"/>
      <c r="P110" s="748">
        <f>0</f>
        <v>0</v>
      </c>
      <c r="Q110" s="748">
        <f>0</f>
        <v>0</v>
      </c>
      <c r="R110" s="748">
        <f>0</f>
        <v>0</v>
      </c>
      <c r="S110" s="748">
        <f>0</f>
        <v>0</v>
      </c>
      <c r="T110" s="719"/>
      <c r="U110" s="749">
        <f>G110</f>
        <v>631.97</v>
      </c>
      <c r="V110" s="734">
        <f>15.24</f>
        <v>15.24</v>
      </c>
      <c r="W110" s="749">
        <f>U110*V110</f>
        <v>9631.2228000000014</v>
      </c>
      <c r="X110" s="720"/>
      <c r="Y110" s="720"/>
      <c r="Z110" s="720"/>
      <c r="AA110" s="720"/>
      <c r="AB110" s="720"/>
    </row>
    <row r="111" spans="1:28" ht="31.15" customHeight="1" thickBot="1">
      <c r="A111" s="912" t="s">
        <v>1415</v>
      </c>
      <c r="B111" s="831" t="s">
        <v>870</v>
      </c>
      <c r="C111" s="832">
        <f>15*4</f>
        <v>60</v>
      </c>
      <c r="D111" s="765">
        <f>'[3]Non Consultancy'!$H$6</f>
        <v>609.79606894964149</v>
      </c>
      <c r="E111" s="765">
        <f>D111*C111</f>
        <v>36587.764136978491</v>
      </c>
      <c r="F111" s="833" t="s">
        <v>1452</v>
      </c>
      <c r="G111" s="765">
        <f>C111/4</f>
        <v>15</v>
      </c>
      <c r="H111" s="765">
        <f>D111</f>
        <v>609.79606894964149</v>
      </c>
      <c r="I111" s="765">
        <f>H111*G111</f>
        <v>9146.9410342446226</v>
      </c>
      <c r="J111" s="834"/>
      <c r="K111" s="835"/>
      <c r="L111" s="834"/>
      <c r="M111" s="834"/>
      <c r="N111" s="834"/>
      <c r="O111" s="834"/>
      <c r="P111" s="748">
        <f>0</f>
        <v>0</v>
      </c>
      <c r="Q111" s="836">
        <f>0</f>
        <v>0</v>
      </c>
      <c r="R111" s="836">
        <f>0</f>
        <v>0</v>
      </c>
      <c r="S111" s="836">
        <f>0</f>
        <v>0</v>
      </c>
      <c r="T111" s="834"/>
      <c r="U111" s="765">
        <v>15</v>
      </c>
      <c r="V111" s="744">
        <f>609.8</f>
        <v>609.79999999999995</v>
      </c>
      <c r="W111" s="749">
        <f>U111*V111</f>
        <v>9147</v>
      </c>
      <c r="X111" s="837"/>
      <c r="Y111" s="837"/>
      <c r="Z111" s="837"/>
      <c r="AA111" s="837"/>
      <c r="AB111" s="837"/>
    </row>
    <row r="112" spans="1:28" ht="17.25" customHeight="1" thickBot="1">
      <c r="A112" s="913" t="s">
        <v>1416</v>
      </c>
      <c r="B112" s="831"/>
      <c r="C112" s="828"/>
      <c r="D112" s="735"/>
      <c r="E112" s="735"/>
      <c r="F112" s="736"/>
      <c r="G112" s="735"/>
      <c r="H112" s="735"/>
      <c r="I112" s="737">
        <f>SUM(I113:I114)</f>
        <v>1000</v>
      </c>
      <c r="J112" s="737">
        <f t="shared" ref="J112:W112" si="53">SUM(J113:J114)</f>
        <v>0</v>
      </c>
      <c r="K112" s="737">
        <f t="shared" si="53"/>
        <v>0</v>
      </c>
      <c r="L112" s="737">
        <f t="shared" si="53"/>
        <v>0</v>
      </c>
      <c r="M112" s="737">
        <f t="shared" si="53"/>
        <v>0</v>
      </c>
      <c r="N112" s="737">
        <f t="shared" si="53"/>
        <v>0</v>
      </c>
      <c r="O112" s="737">
        <f t="shared" si="53"/>
        <v>0</v>
      </c>
      <c r="P112" s="737">
        <f t="shared" si="53"/>
        <v>43.36717193352613</v>
      </c>
      <c r="Q112" s="737">
        <f t="shared" si="53"/>
        <v>133.11848185170675</v>
      </c>
      <c r="R112" s="737">
        <f t="shared" si="53"/>
        <v>104.33610739728366</v>
      </c>
      <c r="S112" s="737">
        <f t="shared" si="53"/>
        <v>280.82176118251652</v>
      </c>
      <c r="T112" s="737">
        <f t="shared" si="53"/>
        <v>0</v>
      </c>
      <c r="U112" s="737">
        <f t="shared" si="53"/>
        <v>0</v>
      </c>
      <c r="V112" s="737">
        <f t="shared" si="53"/>
        <v>0</v>
      </c>
      <c r="W112" s="737">
        <f t="shared" si="53"/>
        <v>1000</v>
      </c>
      <c r="X112" s="720"/>
      <c r="Y112" s="720"/>
      <c r="Z112" s="720"/>
      <c r="AA112" s="720"/>
      <c r="AB112" s="720"/>
    </row>
    <row r="113" spans="1:28" ht="17.25" customHeight="1" thickBot="1">
      <c r="A113" s="912" t="s">
        <v>1417</v>
      </c>
      <c r="B113" s="831"/>
      <c r="C113" s="828"/>
      <c r="D113" s="735"/>
      <c r="E113" s="735"/>
      <c r="F113" s="736"/>
      <c r="G113" s="735"/>
      <c r="H113" s="735"/>
      <c r="I113" s="735"/>
      <c r="J113" s="719"/>
      <c r="K113" s="725"/>
      <c r="L113" s="719"/>
      <c r="M113" s="719"/>
      <c r="N113" s="719"/>
      <c r="O113" s="719"/>
      <c r="P113" s="748"/>
      <c r="Q113" s="748"/>
      <c r="R113" s="779"/>
      <c r="S113" s="719"/>
      <c r="T113" s="719"/>
      <c r="U113" s="719"/>
      <c r="V113" s="719"/>
      <c r="W113" s="719"/>
      <c r="X113" s="720"/>
      <c r="Y113" s="720"/>
      <c r="Z113" s="720"/>
      <c r="AA113" s="720"/>
      <c r="AB113" s="720"/>
    </row>
    <row r="114" spans="1:28" ht="28.5" customHeight="1" thickBot="1">
      <c r="A114" s="912" t="s">
        <v>1418</v>
      </c>
      <c r="B114" s="831"/>
      <c r="C114" s="828">
        <v>4</v>
      </c>
      <c r="D114" s="735">
        <f>1000</f>
        <v>1000</v>
      </c>
      <c r="E114" s="735">
        <f>C114*D114</f>
        <v>4000</v>
      </c>
      <c r="F114" s="736" t="s">
        <v>1453</v>
      </c>
      <c r="G114" s="735">
        <v>1</v>
      </c>
      <c r="H114" s="735">
        <f>D114</f>
        <v>1000</v>
      </c>
      <c r="I114" s="735">
        <f>G114*H114</f>
        <v>1000</v>
      </c>
      <c r="J114" s="719"/>
      <c r="K114" s="725"/>
      <c r="L114" s="719"/>
      <c r="M114" s="719"/>
      <c r="N114" s="719"/>
      <c r="O114" s="719"/>
      <c r="P114" s="748">
        <f>('[2]Bank XOF'!G13+'[2]Bank XOF'!G14+'[2]Bank XOF'!G16+'[2]Bank XOF'!G17)/655.957</f>
        <v>43.36717193352613</v>
      </c>
      <c r="Q114" s="748">
        <f>('[2]Bank XOF'!G23+'[2]Bank XOF'!G37+'[2]Bank XOF'!G66+'[2]Bank XOF'!G74+'[2]Bank XOF'!G75+'[2]Bank XOF'!G89)/655.957</f>
        <v>133.11848185170675</v>
      </c>
      <c r="R114" s="748">
        <f>('[2]Bank XOF'!G129+'[2]Bank XOF'!G144+[2]Details!B6)/655.957+('[2]Bank XOF'!G233+'[2]Bank XOF'!G237)/655.957</f>
        <v>104.33610739728366</v>
      </c>
      <c r="S114" s="748">
        <f>P114+Q114+R114</f>
        <v>280.82176118251652</v>
      </c>
      <c r="T114" s="719"/>
      <c r="U114" s="751"/>
      <c r="V114" s="751"/>
      <c r="W114" s="751">
        <f>1000</f>
        <v>1000</v>
      </c>
      <c r="X114" s="720"/>
      <c r="Y114" s="720"/>
      <c r="Z114" s="720"/>
      <c r="AA114" s="720"/>
      <c r="AB114" s="720"/>
    </row>
    <row r="115" spans="1:28" s="821" customFormat="1" ht="17.25" customHeight="1" thickBot="1">
      <c r="A115" s="913" t="s">
        <v>1419</v>
      </c>
      <c r="B115" s="838"/>
      <c r="C115" s="830"/>
      <c r="D115" s="737"/>
      <c r="E115" s="737">
        <f>E116</f>
        <v>240000</v>
      </c>
      <c r="F115" s="727" t="s">
        <v>1453</v>
      </c>
      <c r="G115" s="737"/>
      <c r="H115" s="737"/>
      <c r="I115" s="737">
        <f>I116</f>
        <v>60000</v>
      </c>
      <c r="J115" s="737">
        <f t="shared" ref="J115:W115" si="54">J116</f>
        <v>0</v>
      </c>
      <c r="K115" s="737">
        <f t="shared" si="54"/>
        <v>0</v>
      </c>
      <c r="L115" s="737">
        <f t="shared" si="54"/>
        <v>0</v>
      </c>
      <c r="M115" s="737">
        <f t="shared" si="54"/>
        <v>0</v>
      </c>
      <c r="N115" s="737">
        <f t="shared" si="54"/>
        <v>0</v>
      </c>
      <c r="O115" s="737">
        <f t="shared" si="54"/>
        <v>0</v>
      </c>
      <c r="P115" s="737">
        <f t="shared" si="54"/>
        <v>0</v>
      </c>
      <c r="Q115" s="737">
        <f t="shared" si="54"/>
        <v>0</v>
      </c>
      <c r="R115" s="737">
        <f t="shared" si="54"/>
        <v>0</v>
      </c>
      <c r="S115" s="737">
        <f t="shared" si="54"/>
        <v>0</v>
      </c>
      <c r="T115" s="737">
        <f t="shared" si="54"/>
        <v>0</v>
      </c>
      <c r="U115" s="737">
        <f t="shared" si="54"/>
        <v>5</v>
      </c>
      <c r="V115" s="737">
        <f t="shared" si="54"/>
        <v>6000</v>
      </c>
      <c r="W115" s="737">
        <f t="shared" si="54"/>
        <v>30000</v>
      </c>
      <c r="X115" s="782"/>
      <c r="Y115" s="782"/>
      <c r="Z115" s="782"/>
      <c r="AA115" s="782"/>
      <c r="AB115" s="782"/>
    </row>
    <row r="116" spans="1:28" ht="56.25" customHeight="1" thickBot="1">
      <c r="A116" s="912" t="s">
        <v>1420</v>
      </c>
      <c r="B116" s="831" t="s">
        <v>875</v>
      </c>
      <c r="C116" s="828">
        <f>(2+20+2+2+4+4+2+4)</f>
        <v>40</v>
      </c>
      <c r="D116" s="735">
        <f>6000</f>
        <v>6000</v>
      </c>
      <c r="E116" s="735">
        <f>C116*D116</f>
        <v>240000</v>
      </c>
      <c r="F116" s="736" t="s">
        <v>1453</v>
      </c>
      <c r="G116" s="735">
        <f>C116/4</f>
        <v>10</v>
      </c>
      <c r="H116" s="735">
        <f>D116</f>
        <v>6000</v>
      </c>
      <c r="I116" s="735">
        <f>G116*H116</f>
        <v>60000</v>
      </c>
      <c r="J116" s="719"/>
      <c r="K116" s="725"/>
      <c r="L116" s="719"/>
      <c r="M116" s="719"/>
      <c r="N116" s="719"/>
      <c r="O116" s="719"/>
      <c r="P116" s="748">
        <f>0</f>
        <v>0</v>
      </c>
      <c r="Q116" s="748">
        <f>0</f>
        <v>0</v>
      </c>
      <c r="R116" s="748">
        <f>0</f>
        <v>0</v>
      </c>
      <c r="S116" s="748">
        <f>P116+Q116+R116</f>
        <v>0</v>
      </c>
      <c r="T116" s="719"/>
      <c r="U116" s="749">
        <f>5</f>
        <v>5</v>
      </c>
      <c r="V116" s="749">
        <f>6000</f>
        <v>6000</v>
      </c>
      <c r="W116" s="749">
        <f>U116*V116</f>
        <v>30000</v>
      </c>
      <c r="X116" s="720"/>
      <c r="Y116" s="720"/>
      <c r="Z116" s="720"/>
      <c r="AA116" s="720"/>
      <c r="AB116" s="720"/>
    </row>
    <row r="117" spans="1:28" ht="12.75" customHeight="1" thickBot="1">
      <c r="A117" s="914"/>
      <c r="B117" s="831"/>
      <c r="C117" s="828"/>
      <c r="D117" s="735"/>
      <c r="E117" s="735"/>
      <c r="F117" s="736"/>
      <c r="G117" s="735"/>
      <c r="H117" s="735"/>
      <c r="I117" s="737"/>
      <c r="J117" s="719"/>
      <c r="K117" s="725"/>
      <c r="L117" s="719"/>
      <c r="M117" s="719"/>
      <c r="N117" s="719"/>
      <c r="O117" s="719"/>
      <c r="P117" s="748"/>
      <c r="Q117" s="748"/>
      <c r="R117" s="779"/>
      <c r="S117" s="719"/>
      <c r="T117" s="719"/>
      <c r="U117" s="719"/>
      <c r="V117" s="719"/>
      <c r="W117" s="719"/>
      <c r="X117" s="720"/>
      <c r="Y117" s="720"/>
      <c r="Z117" s="720"/>
      <c r="AA117" s="720"/>
      <c r="AB117" s="720"/>
    </row>
    <row r="118" spans="1:28" s="821" customFormat="1" ht="18.75" customHeight="1" thickBot="1">
      <c r="A118" s="913" t="s">
        <v>1421</v>
      </c>
      <c r="B118" s="838"/>
      <c r="C118" s="830"/>
      <c r="D118" s="737"/>
      <c r="E118" s="737">
        <f>E119+E120</f>
        <v>32000</v>
      </c>
      <c r="F118" s="727"/>
      <c r="G118" s="737"/>
      <c r="H118" s="737"/>
      <c r="I118" s="737">
        <f>I119+I120</f>
        <v>6000</v>
      </c>
      <c r="J118" s="737">
        <f t="shared" ref="J118:W118" si="55">J119+J120</f>
        <v>0</v>
      </c>
      <c r="K118" s="737">
        <f t="shared" si="55"/>
        <v>0</v>
      </c>
      <c r="L118" s="737">
        <f t="shared" si="55"/>
        <v>0</v>
      </c>
      <c r="M118" s="737">
        <f t="shared" si="55"/>
        <v>0</v>
      </c>
      <c r="N118" s="737">
        <f t="shared" si="55"/>
        <v>0</v>
      </c>
      <c r="O118" s="737">
        <f t="shared" si="55"/>
        <v>0</v>
      </c>
      <c r="P118" s="737">
        <f t="shared" si="55"/>
        <v>0</v>
      </c>
      <c r="Q118" s="737">
        <f t="shared" si="55"/>
        <v>0</v>
      </c>
      <c r="R118" s="737">
        <f t="shared" si="55"/>
        <v>2225.7556516661916</v>
      </c>
      <c r="S118" s="737">
        <f t="shared" si="55"/>
        <v>2225.7556516661916</v>
      </c>
      <c r="T118" s="737">
        <f t="shared" si="55"/>
        <v>0</v>
      </c>
      <c r="U118" s="737">
        <f t="shared" si="55"/>
        <v>2</v>
      </c>
      <c r="V118" s="737">
        <f t="shared" si="55"/>
        <v>14000</v>
      </c>
      <c r="W118" s="737">
        <f t="shared" si="55"/>
        <v>14000</v>
      </c>
      <c r="X118" s="782"/>
      <c r="Y118" s="782"/>
      <c r="Z118" s="782"/>
      <c r="AA118" s="782"/>
      <c r="AB118" s="782"/>
    </row>
    <row r="119" spans="1:28" ht="30.75" customHeight="1" thickBot="1">
      <c r="A119" s="912" t="s">
        <v>1422</v>
      </c>
      <c r="B119" s="831" t="s">
        <v>847</v>
      </c>
      <c r="C119" s="828">
        <v>4</v>
      </c>
      <c r="D119" s="735">
        <v>3000</v>
      </c>
      <c r="E119" s="735">
        <f>C119*D119</f>
        <v>12000</v>
      </c>
      <c r="F119" s="736" t="s">
        <v>1446</v>
      </c>
      <c r="G119" s="735">
        <v>1</v>
      </c>
      <c r="H119" s="735">
        <v>2000</v>
      </c>
      <c r="I119" s="735">
        <f>G119*H119</f>
        <v>2000</v>
      </c>
      <c r="J119" s="719"/>
      <c r="K119" s="725"/>
      <c r="L119" s="719"/>
      <c r="M119" s="719"/>
      <c r="N119" s="719"/>
      <c r="O119" s="719"/>
      <c r="P119" s="748">
        <f>0</f>
        <v>0</v>
      </c>
      <c r="Q119" s="748">
        <f>0</f>
        <v>0</v>
      </c>
      <c r="R119" s="748">
        <f>0</f>
        <v>0</v>
      </c>
      <c r="S119" s="751">
        <f>P119+Q119+R119</f>
        <v>0</v>
      </c>
      <c r="T119" s="719"/>
      <c r="U119" s="736">
        <v>1</v>
      </c>
      <c r="V119" s="749">
        <f>4000</f>
        <v>4000</v>
      </c>
      <c r="W119" s="749">
        <f>U119*V119</f>
        <v>4000</v>
      </c>
      <c r="X119" s="720"/>
      <c r="Y119" s="720"/>
      <c r="Z119" s="720"/>
      <c r="AA119" s="720"/>
      <c r="AB119" s="720"/>
    </row>
    <row r="120" spans="1:28" ht="30.75" customHeight="1" thickBot="1">
      <c r="A120" s="912" t="s">
        <v>1423</v>
      </c>
      <c r="B120" s="831" t="s">
        <v>847</v>
      </c>
      <c r="C120" s="828">
        <v>4</v>
      </c>
      <c r="D120" s="735">
        <v>5000</v>
      </c>
      <c r="E120" s="735">
        <f>C120*D120</f>
        <v>20000</v>
      </c>
      <c r="F120" s="736" t="s">
        <v>1446</v>
      </c>
      <c r="G120" s="735">
        <v>1</v>
      </c>
      <c r="H120" s="735">
        <v>4000</v>
      </c>
      <c r="I120" s="735">
        <f>G120*H120</f>
        <v>4000</v>
      </c>
      <c r="J120" s="719"/>
      <c r="K120" s="725"/>
      <c r="L120" s="719"/>
      <c r="M120" s="719"/>
      <c r="N120" s="719"/>
      <c r="O120" s="719"/>
      <c r="P120" s="748">
        <f>0</f>
        <v>0</v>
      </c>
      <c r="Q120" s="748">
        <f>0</f>
        <v>0</v>
      </c>
      <c r="R120" s="748">
        <f>'[2]Bank XOF'!G172/655.957</f>
        <v>2225.7556516661916</v>
      </c>
      <c r="S120" s="751">
        <f>P120+Q120+R120</f>
        <v>2225.7556516661916</v>
      </c>
      <c r="T120" s="719"/>
      <c r="U120" s="736">
        <v>1</v>
      </c>
      <c r="V120" s="748">
        <f>10000</f>
        <v>10000</v>
      </c>
      <c r="W120" s="748">
        <f>U120*V120</f>
        <v>10000</v>
      </c>
      <c r="X120" s="720"/>
      <c r="Y120" s="720"/>
      <c r="Z120" s="720"/>
      <c r="AA120" s="720"/>
      <c r="AB120" s="720"/>
    </row>
    <row r="121" spans="1:28" ht="15.75" customHeight="1" thickBot="1">
      <c r="A121" s="924" t="s">
        <v>1424</v>
      </c>
      <c r="B121" s="840"/>
      <c r="C121" s="841"/>
      <c r="D121" s="842"/>
      <c r="E121" s="843">
        <f>E118+E115+E109+E106+E100</f>
        <v>609477.5675844606</v>
      </c>
      <c r="F121" s="844"/>
      <c r="G121" s="842"/>
      <c r="H121" s="842"/>
      <c r="I121" s="843">
        <f>I99+I100+I106+I108+I109+I112+I115+I118</f>
        <v>270381.26157659723</v>
      </c>
      <c r="J121" s="843">
        <f t="shared" ref="J121:W121" si="56">J99+J100+J106+J108+J109+J112+J115+J118</f>
        <v>0</v>
      </c>
      <c r="K121" s="843">
        <f t="shared" si="56"/>
        <v>0</v>
      </c>
      <c r="L121" s="843">
        <f t="shared" si="56"/>
        <v>0</v>
      </c>
      <c r="M121" s="843">
        <f t="shared" si="56"/>
        <v>0</v>
      </c>
      <c r="N121" s="843">
        <f t="shared" si="56"/>
        <v>0</v>
      </c>
      <c r="O121" s="843">
        <f t="shared" si="56"/>
        <v>0</v>
      </c>
      <c r="P121" s="843">
        <f t="shared" si="56"/>
        <v>43.36717193352613</v>
      </c>
      <c r="Q121" s="843">
        <f t="shared" si="56"/>
        <v>133.11848185170675</v>
      </c>
      <c r="R121" s="843">
        <f t="shared" si="56"/>
        <v>2330.0917590634754</v>
      </c>
      <c r="S121" s="843">
        <f t="shared" si="56"/>
        <v>2506.5774128487083</v>
      </c>
      <c r="T121" s="843">
        <f t="shared" si="56"/>
        <v>0</v>
      </c>
      <c r="U121" s="843">
        <f t="shared" si="56"/>
        <v>857.47</v>
      </c>
      <c r="V121" s="843">
        <f t="shared" si="56"/>
        <v>36625.040000000001</v>
      </c>
      <c r="W121" s="843">
        <f t="shared" si="56"/>
        <v>262778.22279999999</v>
      </c>
      <c r="X121" s="720"/>
      <c r="Y121" s="720"/>
      <c r="Z121" s="720"/>
      <c r="AA121" s="720"/>
      <c r="AB121" s="720"/>
    </row>
    <row r="122" spans="1:28" ht="15.75" customHeight="1" thickBot="1">
      <c r="A122" s="916" t="s">
        <v>1425</v>
      </c>
      <c r="B122" s="845"/>
      <c r="C122" s="846"/>
      <c r="D122" s="847"/>
      <c r="E122" s="847"/>
      <c r="F122" s="848"/>
      <c r="G122" s="847"/>
      <c r="H122" s="847"/>
      <c r="I122" s="849"/>
      <c r="J122" s="849"/>
      <c r="K122" s="849"/>
      <c r="L122" s="849"/>
      <c r="M122" s="849"/>
      <c r="N122" s="849"/>
      <c r="O122" s="849"/>
      <c r="P122" s="849"/>
      <c r="Q122" s="849"/>
      <c r="R122" s="849"/>
      <c r="S122" s="849"/>
      <c r="T122" s="849"/>
      <c r="U122" s="849"/>
      <c r="V122" s="849"/>
      <c r="W122" s="849"/>
      <c r="X122" s="720"/>
      <c r="Y122" s="720"/>
      <c r="Z122" s="720"/>
      <c r="AA122" s="720"/>
      <c r="AB122" s="720"/>
    </row>
    <row r="123" spans="1:28" ht="15.75" customHeight="1" thickBot="1">
      <c r="A123" s="914" t="s">
        <v>1426</v>
      </c>
      <c r="B123" s="827" t="s">
        <v>880</v>
      </c>
      <c r="C123" s="828"/>
      <c r="D123" s="850"/>
      <c r="E123" s="850"/>
      <c r="F123" s="851"/>
      <c r="G123" s="850"/>
      <c r="H123" s="850"/>
      <c r="I123" s="735"/>
      <c r="J123" s="719"/>
      <c r="K123" s="725"/>
      <c r="L123" s="719"/>
      <c r="M123" s="719"/>
      <c r="N123" s="719"/>
      <c r="O123" s="719"/>
      <c r="P123" s="748"/>
      <c r="Q123" s="748"/>
      <c r="R123" s="780"/>
      <c r="S123" s="719"/>
      <c r="T123" s="719"/>
      <c r="U123" s="719"/>
      <c r="V123" s="719"/>
      <c r="W123" s="719"/>
      <c r="X123" s="720"/>
      <c r="Y123" s="720"/>
      <c r="Z123" s="720"/>
      <c r="AA123" s="720"/>
      <c r="AB123" s="720"/>
    </row>
    <row r="124" spans="1:28" ht="65.45" customHeight="1" thickBot="1">
      <c r="A124" s="926" t="s">
        <v>1427</v>
      </c>
      <c r="B124" s="827" t="s">
        <v>880</v>
      </c>
      <c r="C124" s="828">
        <f>15</f>
        <v>15</v>
      </c>
      <c r="D124" s="735">
        <f>1000</f>
        <v>1000</v>
      </c>
      <c r="E124" s="735">
        <f>C124*D124</f>
        <v>15000</v>
      </c>
      <c r="F124" s="736" t="s">
        <v>1454</v>
      </c>
      <c r="G124" s="735">
        <f>C124/2</f>
        <v>7.5</v>
      </c>
      <c r="H124" s="735">
        <f>D124</f>
        <v>1000</v>
      </c>
      <c r="I124" s="737">
        <f>G124*H124</f>
        <v>7500</v>
      </c>
      <c r="J124" s="719"/>
      <c r="K124" s="725"/>
      <c r="L124" s="719"/>
      <c r="M124" s="719"/>
      <c r="N124" s="719"/>
      <c r="O124" s="719"/>
      <c r="P124" s="795">
        <f>0</f>
        <v>0</v>
      </c>
      <c r="Q124" s="795">
        <f>'[2]Bank XOF'!G65/655.957</f>
        <v>548.81646205467734</v>
      </c>
      <c r="R124" s="795">
        <f>'[2]Bank XOF'!G122/655.957</f>
        <v>129.58166465179883</v>
      </c>
      <c r="S124" s="795">
        <f>P124+Q124+R124</f>
        <v>678.39812670647621</v>
      </c>
      <c r="T124" s="719"/>
      <c r="U124" s="748">
        <v>1</v>
      </c>
      <c r="V124" s="748">
        <f>1000</f>
        <v>1000</v>
      </c>
      <c r="W124" s="795">
        <f>U124*V124</f>
        <v>1000</v>
      </c>
      <c r="X124" s="720"/>
      <c r="Y124" s="720"/>
      <c r="Z124" s="720"/>
      <c r="AA124" s="720"/>
      <c r="AB124" s="720"/>
    </row>
    <row r="125" spans="1:28" ht="21.75" customHeight="1" thickBot="1">
      <c r="A125" s="914"/>
      <c r="B125" s="827"/>
      <c r="C125" s="828"/>
      <c r="D125" s="735"/>
      <c r="E125" s="735"/>
      <c r="F125" s="736"/>
      <c r="G125" s="735"/>
      <c r="H125" s="735"/>
      <c r="I125" s="737"/>
      <c r="J125" s="719"/>
      <c r="K125" s="725"/>
      <c r="L125" s="719"/>
      <c r="M125" s="719"/>
      <c r="N125" s="719"/>
      <c r="O125" s="719"/>
      <c r="P125" s="748"/>
      <c r="Q125" s="748"/>
      <c r="R125" s="780"/>
      <c r="S125" s="719"/>
      <c r="T125" s="719"/>
      <c r="U125" s="719"/>
      <c r="V125" s="719"/>
      <c r="W125" s="719"/>
      <c r="X125" s="720"/>
      <c r="Y125" s="720"/>
      <c r="Z125" s="720"/>
      <c r="AA125" s="720"/>
      <c r="AB125" s="720"/>
    </row>
    <row r="126" spans="1:28" ht="15.75" customHeight="1" thickBot="1">
      <c r="A126" s="918" t="s">
        <v>1428</v>
      </c>
      <c r="B126" s="784"/>
      <c r="C126" s="785"/>
      <c r="D126" s="786"/>
      <c r="E126" s="786">
        <f>SUM(E122:E125)</f>
        <v>15000</v>
      </c>
      <c r="F126" s="786"/>
      <c r="G126" s="786"/>
      <c r="H126" s="786"/>
      <c r="I126" s="786">
        <f>SUM(I122:I125)</f>
        <v>7500</v>
      </c>
      <c r="J126" s="786">
        <f t="shared" ref="J126:W126" si="57">SUM(J122:J125)</f>
        <v>0</v>
      </c>
      <c r="K126" s="786">
        <f t="shared" si="57"/>
        <v>0</v>
      </c>
      <c r="L126" s="786">
        <f t="shared" si="57"/>
        <v>0</v>
      </c>
      <c r="M126" s="786">
        <f t="shared" si="57"/>
        <v>0</v>
      </c>
      <c r="N126" s="786">
        <f t="shared" si="57"/>
        <v>0</v>
      </c>
      <c r="O126" s="786">
        <f t="shared" si="57"/>
        <v>0</v>
      </c>
      <c r="P126" s="786">
        <f t="shared" si="57"/>
        <v>0</v>
      </c>
      <c r="Q126" s="786">
        <f t="shared" si="57"/>
        <v>548.81646205467734</v>
      </c>
      <c r="R126" s="786">
        <f t="shared" si="57"/>
        <v>129.58166465179883</v>
      </c>
      <c r="S126" s="786">
        <f t="shared" si="57"/>
        <v>678.39812670647621</v>
      </c>
      <c r="T126" s="786">
        <f t="shared" si="57"/>
        <v>0</v>
      </c>
      <c r="U126" s="786"/>
      <c r="V126" s="786">
        <f t="shared" si="57"/>
        <v>1000</v>
      </c>
      <c r="W126" s="786">
        <f t="shared" si="57"/>
        <v>1000</v>
      </c>
      <c r="X126" s="720"/>
      <c r="Y126" s="720"/>
      <c r="Z126" s="720"/>
      <c r="AA126" s="720"/>
      <c r="AB126" s="720"/>
    </row>
    <row r="127" spans="1:28" ht="15.75" customHeight="1" thickBot="1">
      <c r="A127" s="925" t="s">
        <v>1429</v>
      </c>
      <c r="B127" s="853"/>
      <c r="C127" s="854"/>
      <c r="D127" s="855"/>
      <c r="E127" s="856">
        <f>E42+E70+E86+E97+E121+E126</f>
        <v>4210764.680938486</v>
      </c>
      <c r="F127" s="856"/>
      <c r="G127" s="856"/>
      <c r="H127" s="856"/>
      <c r="I127" s="856">
        <f>I42+I70+I86+I97+I121+I126</f>
        <v>1554760.15020291</v>
      </c>
      <c r="J127" s="856">
        <f t="shared" ref="J127:W127" si="58">J42+J70+J86+J97+J121+J126</f>
        <v>5140970225</v>
      </c>
      <c r="K127" s="856">
        <f t="shared" si="58"/>
        <v>302346838932107.75</v>
      </c>
      <c r="L127" s="856">
        <f t="shared" si="58"/>
        <v>1.1856830039776645E+24</v>
      </c>
      <c r="M127" s="856">
        <f t="shared" si="58"/>
        <v>3.1934873632890637E+38</v>
      </c>
      <c r="N127" s="856">
        <f t="shared" si="58"/>
        <v>3.6973846339258748E+62</v>
      </c>
      <c r="O127" s="856">
        <f t="shared" si="58"/>
        <v>1.1780956051830964E+101</v>
      </c>
      <c r="P127" s="856">
        <f t="shared" si="58"/>
        <v>4.3556615465013583E+163</v>
      </c>
      <c r="Q127" s="856">
        <f t="shared" si="58"/>
        <v>5.1313851775366706E+264</v>
      </c>
      <c r="R127" s="856" t="e">
        <f t="shared" si="58"/>
        <v>#NUM!</v>
      </c>
      <c r="S127" s="856" t="e">
        <f t="shared" si="58"/>
        <v>#NUM!</v>
      </c>
      <c r="T127" s="856" t="e">
        <f t="shared" si="58"/>
        <v>#NUM!</v>
      </c>
      <c r="U127" s="856"/>
      <c r="V127" s="856">
        <f t="shared" si="58"/>
        <v>275098.00568670512</v>
      </c>
      <c r="W127" s="856">
        <f t="shared" si="58"/>
        <v>1276057.1690149247</v>
      </c>
      <c r="X127" s="720"/>
      <c r="Y127" s="720"/>
      <c r="Z127" s="720"/>
      <c r="AA127" s="720"/>
      <c r="AB127" s="720"/>
    </row>
    <row r="128" spans="1:28" ht="29.25" customHeight="1" thickBot="1">
      <c r="A128" s="926" t="s">
        <v>1430</v>
      </c>
      <c r="B128" s="733"/>
      <c r="C128" s="734"/>
      <c r="D128" s="735"/>
      <c r="E128" s="765">
        <f>E127*J128</f>
        <v>865896633967455.25</v>
      </c>
      <c r="F128" s="744"/>
      <c r="G128" s="765"/>
      <c r="H128" s="765"/>
      <c r="I128" s="857">
        <f>I127*0.04</f>
        <v>62190.406008116399</v>
      </c>
      <c r="J128" s="857">
        <f t="shared" ref="J128:W128" si="59">J127*0.04</f>
        <v>205638809</v>
      </c>
      <c r="K128" s="857">
        <f t="shared" si="59"/>
        <v>12093873557284.311</v>
      </c>
      <c r="L128" s="857">
        <f t="shared" si="59"/>
        <v>4.742732015910658E+22</v>
      </c>
      <c r="M128" s="857">
        <f t="shared" si="59"/>
        <v>1.2773949453156254E+37</v>
      </c>
      <c r="N128" s="857">
        <f t="shared" si="59"/>
        <v>1.4789538535703498E+61</v>
      </c>
      <c r="O128" s="857">
        <f t="shared" si="59"/>
        <v>4.7123824207323859E+99</v>
      </c>
      <c r="P128" s="857">
        <f t="shared" si="59"/>
        <v>1.7422646186005434E+162</v>
      </c>
      <c r="Q128" s="857">
        <f t="shared" si="59"/>
        <v>2.0525540710146682E+263</v>
      </c>
      <c r="R128" s="857" t="e">
        <f t="shared" si="59"/>
        <v>#NUM!</v>
      </c>
      <c r="S128" s="857" t="e">
        <f t="shared" si="59"/>
        <v>#NUM!</v>
      </c>
      <c r="T128" s="857" t="e">
        <f t="shared" si="59"/>
        <v>#NUM!</v>
      </c>
      <c r="U128" s="857"/>
      <c r="V128" s="857">
        <f t="shared" si="59"/>
        <v>11003.920227468205</v>
      </c>
      <c r="W128" s="857">
        <f t="shared" si="59"/>
        <v>51042.286760596988</v>
      </c>
      <c r="X128" s="720"/>
      <c r="Y128" s="720"/>
      <c r="Z128" s="720"/>
      <c r="AA128" s="720"/>
      <c r="AB128" s="720"/>
    </row>
    <row r="129" spans="1:28" ht="15.75" customHeight="1" thickBot="1">
      <c r="A129" s="925" t="s">
        <v>1431</v>
      </c>
      <c r="B129" s="858"/>
      <c r="C129" s="859"/>
      <c r="D129" s="860"/>
      <c r="E129" s="861">
        <f>E127+E128</f>
        <v>865896638178219.88</v>
      </c>
      <c r="F129" s="862"/>
      <c r="G129" s="863"/>
      <c r="H129" s="862"/>
      <c r="I129" s="861">
        <f>I127+I128</f>
        <v>1616950.5562110264</v>
      </c>
      <c r="J129" s="861">
        <f t="shared" ref="J129:W129" si="60">J127+J128</f>
        <v>5346609034</v>
      </c>
      <c r="K129" s="861">
        <f t="shared" si="60"/>
        <v>314440712489392.06</v>
      </c>
      <c r="L129" s="861">
        <f t="shared" si="60"/>
        <v>1.2331103241367709E+24</v>
      </c>
      <c r="M129" s="861">
        <f t="shared" si="60"/>
        <v>3.3212268578206264E+38</v>
      </c>
      <c r="N129" s="861">
        <f t="shared" si="60"/>
        <v>3.84528001928291E+62</v>
      </c>
      <c r="O129" s="861">
        <f t="shared" si="60"/>
        <v>1.2252194293904203E+101</v>
      </c>
      <c r="P129" s="861">
        <f t="shared" si="60"/>
        <v>4.5298880083614124E+163</v>
      </c>
      <c r="Q129" s="861">
        <f t="shared" si="60"/>
        <v>5.3366405846381372E+264</v>
      </c>
      <c r="R129" s="861" t="e">
        <f t="shared" si="60"/>
        <v>#NUM!</v>
      </c>
      <c r="S129" s="861" t="e">
        <f t="shared" si="60"/>
        <v>#NUM!</v>
      </c>
      <c r="T129" s="861" t="e">
        <f t="shared" si="60"/>
        <v>#NUM!</v>
      </c>
      <c r="U129" s="861"/>
      <c r="V129" s="861">
        <f t="shared" si="60"/>
        <v>286101.92591417331</v>
      </c>
      <c r="W129" s="861">
        <f t="shared" si="60"/>
        <v>1327099.4557755217</v>
      </c>
      <c r="X129" s="720"/>
      <c r="Y129" s="720"/>
      <c r="Z129" s="720"/>
      <c r="AA129" s="720"/>
      <c r="AB129" s="720"/>
    </row>
    <row r="130" spans="1:28" ht="23.45" customHeight="1" thickBot="1">
      <c r="A130" s="926" t="s">
        <v>1432</v>
      </c>
      <c r="B130" s="733"/>
      <c r="C130" s="734"/>
      <c r="D130" s="735"/>
      <c r="E130" s="857">
        <f>E129*0.05</f>
        <v>43294831908911</v>
      </c>
      <c r="F130" s="744"/>
      <c r="G130" s="765"/>
      <c r="H130" s="744"/>
      <c r="I130" s="864">
        <f>I129*0.05</f>
        <v>80847.527810551328</v>
      </c>
      <c r="J130" s="864">
        <f t="shared" ref="J130:W130" si="61">J129*0.05</f>
        <v>267330451.70000002</v>
      </c>
      <c r="K130" s="864">
        <f t="shared" si="61"/>
        <v>15722035624469.604</v>
      </c>
      <c r="L130" s="864">
        <f t="shared" si="61"/>
        <v>6.1655516206838552E+22</v>
      </c>
      <c r="M130" s="864">
        <f t="shared" si="61"/>
        <v>1.6606134289103133E+37</v>
      </c>
      <c r="N130" s="864">
        <f t="shared" si="61"/>
        <v>1.922640009641455E+61</v>
      </c>
      <c r="O130" s="864">
        <f t="shared" si="61"/>
        <v>6.1260971469521017E+99</v>
      </c>
      <c r="P130" s="864">
        <f t="shared" si="61"/>
        <v>2.2649440041807065E+162</v>
      </c>
      <c r="Q130" s="864">
        <f t="shared" si="61"/>
        <v>2.6683202923190685E+263</v>
      </c>
      <c r="R130" s="864" t="e">
        <f t="shared" si="61"/>
        <v>#NUM!</v>
      </c>
      <c r="S130" s="864" t="e">
        <f t="shared" si="61"/>
        <v>#NUM!</v>
      </c>
      <c r="T130" s="864" t="e">
        <f t="shared" si="61"/>
        <v>#NUM!</v>
      </c>
      <c r="U130" s="864"/>
      <c r="V130" s="864">
        <f t="shared" si="61"/>
        <v>14305.096295708667</v>
      </c>
      <c r="W130" s="864">
        <f t="shared" si="61"/>
        <v>66354.972788776082</v>
      </c>
      <c r="X130" s="720"/>
      <c r="Y130" s="720"/>
      <c r="Z130" s="720"/>
      <c r="AA130" s="720"/>
      <c r="AB130" s="720"/>
    </row>
    <row r="131" spans="1:28" ht="15.75" customHeight="1" thickBot="1">
      <c r="A131" s="925" t="s">
        <v>1433</v>
      </c>
      <c r="B131" s="858"/>
      <c r="C131" s="859"/>
      <c r="D131" s="860"/>
      <c r="E131" s="860">
        <f>E129+E130</f>
        <v>909191470087130.88</v>
      </c>
      <c r="F131" s="859"/>
      <c r="G131" s="860"/>
      <c r="H131" s="859"/>
      <c r="I131" s="865">
        <f>I129+I130</f>
        <v>1697798.0840215776</v>
      </c>
      <c r="J131" s="865">
        <f t="shared" ref="J131:W131" si="62">J129+J130</f>
        <v>5613939485.6999998</v>
      </c>
      <c r="K131" s="865">
        <f t="shared" si="62"/>
        <v>330162748113861.69</v>
      </c>
      <c r="L131" s="865">
        <f t="shared" si="62"/>
        <v>1.2947658403436095E+24</v>
      </c>
      <c r="M131" s="865">
        <f t="shared" si="62"/>
        <v>3.487288200711658E+38</v>
      </c>
      <c r="N131" s="865">
        <f t="shared" si="62"/>
        <v>4.0375440202470558E+62</v>
      </c>
      <c r="O131" s="865">
        <f t="shared" si="62"/>
        <v>1.2864804008599413E+101</v>
      </c>
      <c r="P131" s="865">
        <f t="shared" si="62"/>
        <v>4.7563824087794834E+163</v>
      </c>
      <c r="Q131" s="865">
        <f t="shared" si="62"/>
        <v>5.6034726138700443E+264</v>
      </c>
      <c r="R131" s="865" t="e">
        <f t="shared" si="62"/>
        <v>#NUM!</v>
      </c>
      <c r="S131" s="865" t="e">
        <f t="shared" si="62"/>
        <v>#NUM!</v>
      </c>
      <c r="T131" s="865" t="e">
        <f t="shared" si="62"/>
        <v>#NUM!</v>
      </c>
      <c r="U131" s="865"/>
      <c r="V131" s="865">
        <f t="shared" si="62"/>
        <v>300407.02220988198</v>
      </c>
      <c r="W131" s="865">
        <f t="shared" si="62"/>
        <v>1393454.4285642977</v>
      </c>
      <c r="X131" s="720"/>
      <c r="Y131" s="720"/>
      <c r="Z131" s="720"/>
      <c r="AA131" s="720"/>
      <c r="AB131" s="720"/>
    </row>
    <row r="132" spans="1:28" ht="34.5" customHeight="1" thickBot="1">
      <c r="A132" s="926" t="s">
        <v>1434</v>
      </c>
      <c r="B132" s="867"/>
      <c r="C132" s="868"/>
      <c r="D132" s="869"/>
      <c r="E132" s="870"/>
      <c r="F132" s="868"/>
      <c r="G132" s="869"/>
      <c r="H132" s="868"/>
      <c r="I132" s="871">
        <f>E132/4</f>
        <v>0</v>
      </c>
      <c r="J132" s="871">
        <f t="shared" ref="J132:W132" si="63">F132/4</f>
        <v>0</v>
      </c>
      <c r="K132" s="871">
        <f t="shared" si="63"/>
        <v>0</v>
      </c>
      <c r="L132" s="871">
        <f t="shared" si="63"/>
        <v>0</v>
      </c>
      <c r="M132" s="871">
        <f t="shared" si="63"/>
        <v>0</v>
      </c>
      <c r="N132" s="871">
        <f t="shared" si="63"/>
        <v>0</v>
      </c>
      <c r="O132" s="871">
        <f t="shared" si="63"/>
        <v>0</v>
      </c>
      <c r="P132" s="871">
        <f t="shared" si="63"/>
        <v>0</v>
      </c>
      <c r="Q132" s="871">
        <f t="shared" si="63"/>
        <v>0</v>
      </c>
      <c r="R132" s="871">
        <f t="shared" si="63"/>
        <v>0</v>
      </c>
      <c r="S132" s="871">
        <f t="shared" si="63"/>
        <v>0</v>
      </c>
      <c r="T132" s="871">
        <f t="shared" si="63"/>
        <v>0</v>
      </c>
      <c r="U132" s="871"/>
      <c r="V132" s="871">
        <f t="shared" si="63"/>
        <v>0</v>
      </c>
      <c r="W132" s="871">
        <f t="shared" si="63"/>
        <v>0</v>
      </c>
      <c r="X132" s="720"/>
      <c r="Y132" s="720"/>
      <c r="Z132" s="720"/>
      <c r="AA132" s="720"/>
      <c r="AB132" s="720"/>
    </row>
    <row r="133" spans="1:28" ht="15.75" customHeight="1" thickBot="1">
      <c r="A133" s="925" t="s">
        <v>1435</v>
      </c>
      <c r="B133" s="858"/>
      <c r="C133" s="859"/>
      <c r="D133" s="860"/>
      <c r="E133" s="860">
        <f>E132+E131</f>
        <v>909191470087130.88</v>
      </c>
      <c r="F133" s="859"/>
      <c r="G133" s="860"/>
      <c r="H133" s="859"/>
      <c r="I133" s="872">
        <f>I132+I131</f>
        <v>1697798.0840215776</v>
      </c>
      <c r="J133" s="872">
        <f t="shared" ref="J133:W133" si="64">J132+J131</f>
        <v>5613939485.6999998</v>
      </c>
      <c r="K133" s="872">
        <f t="shared" si="64"/>
        <v>330162748113861.69</v>
      </c>
      <c r="L133" s="872">
        <f t="shared" si="64"/>
        <v>1.2947658403436095E+24</v>
      </c>
      <c r="M133" s="872">
        <f t="shared" si="64"/>
        <v>3.487288200711658E+38</v>
      </c>
      <c r="N133" s="872">
        <f t="shared" si="64"/>
        <v>4.0375440202470558E+62</v>
      </c>
      <c r="O133" s="872">
        <f t="shared" si="64"/>
        <v>1.2864804008599413E+101</v>
      </c>
      <c r="P133" s="872">
        <f t="shared" si="64"/>
        <v>4.7563824087794834E+163</v>
      </c>
      <c r="Q133" s="872">
        <f t="shared" si="64"/>
        <v>5.6034726138700443E+264</v>
      </c>
      <c r="R133" s="872" t="e">
        <f t="shared" si="64"/>
        <v>#NUM!</v>
      </c>
      <c r="S133" s="872" t="e">
        <f t="shared" si="64"/>
        <v>#NUM!</v>
      </c>
      <c r="T133" s="872" t="e">
        <f t="shared" si="64"/>
        <v>#NUM!</v>
      </c>
      <c r="U133" s="872"/>
      <c r="V133" s="872">
        <f t="shared" si="64"/>
        <v>300407.02220988198</v>
      </c>
      <c r="W133" s="872">
        <f t="shared" si="64"/>
        <v>1393454.4285642977</v>
      </c>
      <c r="X133" s="720"/>
      <c r="Y133" s="720"/>
      <c r="Z133" s="720"/>
      <c r="AA133" s="720"/>
      <c r="AB133" s="720"/>
    </row>
    <row r="134" spans="1:28" ht="12.75" customHeight="1">
      <c r="A134" s="873"/>
      <c r="B134" s="874"/>
      <c r="C134" s="875"/>
      <c r="D134" s="875"/>
      <c r="E134" s="876"/>
      <c r="F134" s="875"/>
      <c r="G134" s="877"/>
      <c r="H134" s="875"/>
      <c r="I134" s="876"/>
      <c r="J134" s="875"/>
      <c r="K134" s="878"/>
      <c r="L134" s="875"/>
      <c r="M134" s="875"/>
      <c r="N134" s="875"/>
      <c r="O134" s="875"/>
      <c r="P134" s="879"/>
      <c r="Q134" s="875"/>
      <c r="R134" s="875"/>
      <c r="S134" s="875"/>
      <c r="T134" s="875"/>
      <c r="U134" s="875"/>
      <c r="V134" s="720"/>
      <c r="W134" s="720"/>
      <c r="X134" s="720"/>
      <c r="Y134" s="720"/>
      <c r="Z134" s="720"/>
      <c r="AA134" s="720"/>
      <c r="AB134" s="720"/>
    </row>
    <row r="135" spans="1:28" ht="31.5" hidden="1" customHeight="1">
      <c r="A135" s="1006" t="s">
        <v>888</v>
      </c>
      <c r="B135" s="1006"/>
      <c r="C135" s="1006"/>
      <c r="D135" s="1006"/>
      <c r="E135" s="1006"/>
      <c r="F135" s="1006"/>
      <c r="G135" s="1006"/>
      <c r="H135" s="1006"/>
      <c r="I135" s="1006"/>
      <c r="J135" s="875"/>
      <c r="K135" s="878"/>
      <c r="L135" s="875"/>
      <c r="M135" s="875"/>
      <c r="N135" s="875"/>
      <c r="O135" s="875"/>
      <c r="P135" s="875"/>
      <c r="Q135" s="875"/>
      <c r="R135" s="875"/>
      <c r="S135" s="875"/>
      <c r="T135" s="875"/>
      <c r="U135" s="875"/>
      <c r="V135" s="720"/>
      <c r="W135" s="720"/>
      <c r="X135" s="720"/>
      <c r="Y135" s="720"/>
      <c r="Z135" s="720"/>
      <c r="AA135" s="720"/>
      <c r="AB135" s="720"/>
    </row>
    <row r="136" spans="1:28" ht="32.25" hidden="1" customHeight="1">
      <c r="A136" s="999" t="s">
        <v>889</v>
      </c>
      <c r="B136" s="999"/>
      <c r="C136" s="999"/>
      <c r="D136" s="999"/>
      <c r="E136" s="999"/>
      <c r="F136" s="999"/>
      <c r="G136" s="999"/>
      <c r="H136" s="999"/>
      <c r="I136" s="999"/>
      <c r="J136" s="875"/>
      <c r="K136" s="878"/>
      <c r="L136" s="875"/>
      <c r="M136" s="875"/>
      <c r="N136" s="875"/>
      <c r="O136" s="875"/>
      <c r="P136" s="875"/>
      <c r="Q136" s="875"/>
      <c r="R136" s="875"/>
      <c r="S136" s="875"/>
      <c r="T136" s="875"/>
      <c r="U136" s="875"/>
      <c r="V136" s="720"/>
      <c r="W136" s="720"/>
      <c r="X136" s="720"/>
      <c r="Y136" s="720"/>
      <c r="Z136" s="720"/>
      <c r="AA136" s="720"/>
      <c r="AB136" s="720"/>
    </row>
    <row r="137" spans="1:28" ht="32.25" hidden="1" customHeight="1">
      <c r="A137" s="999" t="s">
        <v>890</v>
      </c>
      <c r="B137" s="999"/>
      <c r="C137" s="999"/>
      <c r="D137" s="999"/>
      <c r="E137" s="999"/>
      <c r="F137" s="999"/>
      <c r="G137" s="999"/>
      <c r="H137" s="999"/>
      <c r="I137" s="999"/>
      <c r="J137" s="875"/>
      <c r="K137" s="878"/>
      <c r="L137" s="875"/>
      <c r="M137" s="875"/>
      <c r="N137" s="875"/>
      <c r="O137" s="875"/>
      <c r="P137" s="875"/>
      <c r="Q137" s="875"/>
      <c r="R137" s="875"/>
      <c r="S137" s="875"/>
      <c r="T137" s="875"/>
      <c r="U137" s="875"/>
      <c r="V137" s="720"/>
      <c r="W137" s="720"/>
      <c r="X137" s="720"/>
      <c r="Y137" s="720"/>
      <c r="Z137" s="720"/>
      <c r="AA137" s="720"/>
      <c r="AB137" s="720"/>
    </row>
    <row r="138" spans="1:28" ht="19.5" hidden="1" customHeight="1">
      <c r="A138" s="999" t="s">
        <v>891</v>
      </c>
      <c r="B138" s="999"/>
      <c r="C138" s="999"/>
      <c r="D138" s="999"/>
      <c r="E138" s="999"/>
      <c r="F138" s="999"/>
      <c r="G138" s="999"/>
      <c r="H138" s="999"/>
      <c r="I138" s="999"/>
      <c r="J138" s="875"/>
      <c r="K138" s="878"/>
      <c r="L138" s="875"/>
      <c r="M138" s="875"/>
      <c r="N138" s="875"/>
      <c r="O138" s="875"/>
      <c r="P138" s="875"/>
      <c r="Q138" s="875"/>
      <c r="R138" s="875"/>
      <c r="S138" s="875"/>
      <c r="T138" s="875"/>
      <c r="U138" s="875"/>
      <c r="V138" s="720"/>
      <c r="W138" s="720"/>
      <c r="X138" s="720"/>
      <c r="Y138" s="720"/>
      <c r="Z138" s="720"/>
      <c r="AA138" s="720"/>
      <c r="AB138" s="720"/>
    </row>
    <row r="139" spans="1:28" ht="66.75" hidden="1" customHeight="1">
      <c r="A139" s="999" t="s">
        <v>892</v>
      </c>
      <c r="B139" s="999"/>
      <c r="C139" s="999"/>
      <c r="D139" s="999"/>
      <c r="E139" s="999"/>
      <c r="F139" s="999"/>
      <c r="G139" s="999"/>
      <c r="H139" s="999"/>
      <c r="I139" s="999"/>
      <c r="J139" s="875"/>
      <c r="K139" s="878"/>
      <c r="L139" s="875"/>
      <c r="M139" s="875"/>
      <c r="N139" s="875"/>
      <c r="O139" s="875"/>
      <c r="P139" s="875"/>
      <c r="Q139" s="875"/>
      <c r="R139" s="875"/>
      <c r="S139" s="875"/>
      <c r="T139" s="875"/>
      <c r="U139" s="875"/>
      <c r="V139" s="720"/>
      <c r="W139" s="720"/>
      <c r="X139" s="720"/>
      <c r="Y139" s="720"/>
      <c r="Z139" s="720"/>
      <c r="AA139" s="720"/>
      <c r="AB139" s="720"/>
    </row>
    <row r="140" spans="1:28" ht="32.25" hidden="1" customHeight="1">
      <c r="A140" s="999" t="s">
        <v>893</v>
      </c>
      <c r="B140" s="999"/>
      <c r="C140" s="999"/>
      <c r="D140" s="999"/>
      <c r="E140" s="999"/>
      <c r="F140" s="999"/>
      <c r="G140" s="999"/>
      <c r="H140" s="999"/>
      <c r="I140" s="999"/>
      <c r="J140" s="875"/>
      <c r="K140" s="878"/>
      <c r="L140" s="875"/>
      <c r="M140" s="875"/>
      <c r="N140" s="875"/>
      <c r="O140" s="875"/>
      <c r="P140" s="875"/>
      <c r="Q140" s="875"/>
      <c r="R140" s="875"/>
      <c r="S140" s="875"/>
      <c r="T140" s="875"/>
      <c r="U140" s="875"/>
      <c r="V140" s="720"/>
      <c r="W140" s="720"/>
      <c r="X140" s="720"/>
      <c r="Y140" s="720"/>
      <c r="Z140" s="720"/>
      <c r="AA140" s="720"/>
      <c r="AB140" s="720"/>
    </row>
    <row r="141" spans="1:28" ht="16.5" hidden="1" customHeight="1">
      <c r="A141" s="999" t="s">
        <v>894</v>
      </c>
      <c r="B141" s="999"/>
      <c r="C141" s="999"/>
      <c r="D141" s="999"/>
      <c r="E141" s="999"/>
      <c r="F141" s="999"/>
      <c r="G141" s="999"/>
      <c r="H141" s="999"/>
      <c r="I141" s="999"/>
      <c r="J141" s="875"/>
      <c r="K141" s="878"/>
      <c r="L141" s="875"/>
      <c r="M141" s="875"/>
      <c r="N141" s="875"/>
      <c r="O141" s="875"/>
      <c r="P141" s="875"/>
      <c r="Q141" s="875"/>
      <c r="R141" s="875"/>
      <c r="S141" s="875"/>
      <c r="T141" s="875"/>
      <c r="U141" s="875"/>
      <c r="V141" s="720"/>
      <c r="W141" s="720"/>
      <c r="X141" s="720"/>
      <c r="Y141" s="720"/>
      <c r="Z141" s="720"/>
      <c r="AA141" s="720"/>
      <c r="AB141" s="720"/>
    </row>
    <row r="142" spans="1:28" ht="16.5" hidden="1" customHeight="1">
      <c r="A142" s="999" t="s">
        <v>895</v>
      </c>
      <c r="B142" s="999"/>
      <c r="C142" s="999"/>
      <c r="D142" s="999"/>
      <c r="E142" s="999"/>
      <c r="F142" s="999"/>
      <c r="G142" s="999"/>
      <c r="H142" s="999"/>
      <c r="I142" s="999"/>
      <c r="J142" s="875"/>
      <c r="K142" s="878"/>
      <c r="L142" s="875"/>
      <c r="M142" s="875"/>
      <c r="N142" s="875"/>
      <c r="O142" s="875"/>
      <c r="P142" s="875"/>
      <c r="Q142" s="875"/>
      <c r="R142" s="875"/>
      <c r="S142" s="875"/>
      <c r="T142" s="875"/>
      <c r="U142" s="875"/>
      <c r="V142" s="720"/>
      <c r="W142" s="720"/>
      <c r="X142" s="720"/>
      <c r="Y142" s="720"/>
      <c r="Z142" s="720"/>
      <c r="AA142" s="720"/>
      <c r="AB142" s="720"/>
    </row>
    <row r="143" spans="1:28" ht="16.5" hidden="1" customHeight="1">
      <c r="A143" s="999" t="s">
        <v>896</v>
      </c>
      <c r="B143" s="999"/>
      <c r="C143" s="999"/>
      <c r="D143" s="999"/>
      <c r="E143" s="999"/>
      <c r="F143" s="999"/>
      <c r="G143" s="999"/>
      <c r="H143" s="999"/>
      <c r="I143" s="999"/>
      <c r="J143" s="875"/>
      <c r="K143" s="878"/>
      <c r="L143" s="875"/>
      <c r="M143" s="875"/>
      <c r="N143" s="875"/>
      <c r="O143" s="875"/>
      <c r="P143" s="875"/>
      <c r="Q143" s="875"/>
      <c r="R143" s="875"/>
      <c r="S143" s="875"/>
      <c r="T143" s="875"/>
      <c r="U143" s="875"/>
      <c r="V143" s="720"/>
      <c r="W143" s="720"/>
      <c r="X143" s="720"/>
      <c r="Y143" s="720"/>
      <c r="Z143" s="720"/>
      <c r="AA143" s="720"/>
      <c r="AB143" s="720"/>
    </row>
    <row r="144" spans="1:28" ht="18" hidden="1" customHeight="1">
      <c r="A144" s="999" t="s">
        <v>897</v>
      </c>
      <c r="B144" s="999"/>
      <c r="C144" s="999"/>
      <c r="D144" s="999"/>
      <c r="E144" s="999"/>
      <c r="F144" s="999"/>
      <c r="G144" s="999"/>
      <c r="H144" s="999"/>
      <c r="I144" s="999"/>
      <c r="J144" s="875"/>
      <c r="K144" s="878"/>
      <c r="L144" s="875"/>
      <c r="M144" s="875"/>
      <c r="N144" s="875"/>
      <c r="O144" s="875"/>
      <c r="P144" s="875"/>
      <c r="Q144" s="875"/>
      <c r="R144" s="875"/>
      <c r="S144" s="875"/>
      <c r="T144" s="875"/>
      <c r="U144" s="875"/>
      <c r="V144" s="720"/>
      <c r="W144" s="720"/>
      <c r="X144" s="720"/>
      <c r="Y144" s="720"/>
      <c r="Z144" s="720"/>
      <c r="AA144" s="720"/>
      <c r="AB144" s="720"/>
    </row>
    <row r="145" spans="1:28" ht="53.25" hidden="1" customHeight="1">
      <c r="A145" s="999" t="s">
        <v>898</v>
      </c>
      <c r="B145" s="999"/>
      <c r="C145" s="999"/>
      <c r="D145" s="999"/>
      <c r="E145" s="999"/>
      <c r="F145" s="999"/>
      <c r="G145" s="999"/>
      <c r="H145" s="999"/>
      <c r="I145" s="999"/>
      <c r="J145" s="875"/>
      <c r="K145" s="878"/>
      <c r="L145" s="875"/>
      <c r="M145" s="875"/>
      <c r="N145" s="875"/>
      <c r="O145" s="875"/>
      <c r="P145" s="875"/>
      <c r="Q145" s="875"/>
      <c r="R145" s="875"/>
      <c r="S145" s="875"/>
      <c r="T145" s="875"/>
      <c r="U145" s="875"/>
      <c r="V145" s="720"/>
      <c r="W145" s="720"/>
      <c r="X145" s="720"/>
      <c r="Y145" s="720"/>
      <c r="Z145" s="720"/>
      <c r="AA145" s="720"/>
      <c r="AB145" s="720"/>
    </row>
    <row r="146" spans="1:28" ht="18.75" hidden="1" customHeight="1">
      <c r="A146" s="999" t="s">
        <v>899</v>
      </c>
      <c r="B146" s="999"/>
      <c r="C146" s="999"/>
      <c r="D146" s="999"/>
      <c r="E146" s="999"/>
      <c r="F146" s="999"/>
      <c r="G146" s="999"/>
      <c r="H146" s="999"/>
      <c r="I146" s="999"/>
      <c r="J146" s="875"/>
      <c r="K146" s="878"/>
      <c r="L146" s="875"/>
      <c r="M146" s="875"/>
      <c r="N146" s="875"/>
      <c r="O146" s="875"/>
      <c r="P146" s="875"/>
      <c r="Q146" s="875"/>
      <c r="R146" s="875"/>
      <c r="S146" s="875"/>
      <c r="T146" s="875"/>
      <c r="U146" s="875"/>
      <c r="V146" s="720"/>
      <c r="W146" s="720"/>
      <c r="X146" s="720"/>
      <c r="Y146" s="720"/>
      <c r="Z146" s="720"/>
      <c r="AA146" s="720"/>
      <c r="AB146" s="720"/>
    </row>
    <row r="147" spans="1:28" ht="42.75" hidden="1" customHeight="1">
      <c r="A147" s="999" t="s">
        <v>900</v>
      </c>
      <c r="B147" s="999"/>
      <c r="C147" s="999"/>
      <c r="D147" s="999"/>
      <c r="E147" s="999"/>
      <c r="F147" s="999"/>
      <c r="G147" s="999"/>
      <c r="H147" s="999"/>
      <c r="I147" s="999"/>
      <c r="J147" s="875"/>
      <c r="K147" s="878"/>
      <c r="L147" s="875"/>
      <c r="M147" s="875"/>
      <c r="N147" s="875"/>
      <c r="O147" s="875"/>
      <c r="P147" s="875"/>
      <c r="Q147" s="875"/>
      <c r="R147" s="875"/>
      <c r="S147" s="875"/>
      <c r="T147" s="875"/>
      <c r="U147" s="875"/>
      <c r="V147" s="720"/>
      <c r="W147" s="720"/>
      <c r="X147" s="720"/>
      <c r="Y147" s="720"/>
      <c r="Z147" s="720"/>
      <c r="AA147" s="720"/>
      <c r="AB147" s="720"/>
    </row>
    <row r="148" spans="1:28" ht="15.75" hidden="1" customHeight="1">
      <c r="A148" s="999" t="s">
        <v>901</v>
      </c>
      <c r="B148" s="999"/>
      <c r="C148" s="999"/>
      <c r="D148" s="999"/>
      <c r="E148" s="999"/>
      <c r="F148" s="999"/>
      <c r="G148" s="999"/>
      <c r="H148" s="999"/>
      <c r="I148" s="999"/>
      <c r="J148" s="875"/>
      <c r="K148" s="878"/>
      <c r="L148" s="875"/>
      <c r="M148" s="875"/>
      <c r="N148" s="875"/>
      <c r="O148" s="875"/>
      <c r="P148" s="875"/>
      <c r="Q148" s="875"/>
      <c r="R148" s="875"/>
      <c r="S148" s="875"/>
      <c r="T148" s="875"/>
      <c r="U148" s="875"/>
      <c r="V148" s="720"/>
      <c r="W148" s="720"/>
      <c r="X148" s="720"/>
      <c r="Y148" s="720"/>
      <c r="Z148" s="720"/>
      <c r="AA148" s="720"/>
      <c r="AB148" s="720"/>
    </row>
    <row r="149" spans="1:28" ht="12.75" hidden="1" customHeight="1">
      <c r="A149" s="873"/>
      <c r="B149" s="874"/>
      <c r="C149" s="875"/>
      <c r="D149" s="875"/>
      <c r="E149" s="875"/>
      <c r="F149" s="875"/>
      <c r="G149" s="877"/>
      <c r="H149" s="875"/>
      <c r="I149" s="875"/>
      <c r="J149" s="875"/>
      <c r="K149" s="878"/>
      <c r="L149" s="875"/>
      <c r="M149" s="875"/>
      <c r="N149" s="875"/>
      <c r="O149" s="875"/>
      <c r="P149" s="875"/>
      <c r="Q149" s="875"/>
      <c r="R149" s="875"/>
      <c r="S149" s="875"/>
      <c r="T149" s="875"/>
      <c r="U149" s="875"/>
      <c r="V149" s="720"/>
      <c r="W149" s="720"/>
      <c r="X149" s="720"/>
      <c r="Y149" s="720"/>
      <c r="Z149" s="720"/>
      <c r="AA149" s="720"/>
      <c r="AB149" s="720"/>
    </row>
    <row r="150" spans="1:28" ht="12.75" hidden="1" customHeight="1">
      <c r="A150" s="873"/>
      <c r="B150" s="874"/>
      <c r="C150" s="875"/>
      <c r="D150" s="875"/>
      <c r="E150" s="880"/>
      <c r="F150" s="881"/>
      <c r="G150" s="877"/>
      <c r="H150" s="875"/>
      <c r="I150" s="875"/>
      <c r="J150" s="875"/>
      <c r="K150" s="878"/>
      <c r="L150" s="875"/>
      <c r="M150" s="875"/>
      <c r="N150" s="875"/>
      <c r="O150" s="875"/>
      <c r="P150" s="875"/>
      <c r="Q150" s="875"/>
      <c r="R150" s="875"/>
      <c r="S150" s="875"/>
      <c r="T150" s="875"/>
      <c r="U150" s="875"/>
      <c r="V150" s="720"/>
      <c r="W150" s="720"/>
      <c r="X150" s="720"/>
      <c r="Y150" s="720"/>
      <c r="Z150" s="720"/>
      <c r="AA150" s="720"/>
      <c r="AB150" s="720"/>
    </row>
    <row r="151" spans="1:28" ht="12.75" hidden="1" customHeight="1">
      <c r="A151" s="873"/>
      <c r="B151" s="874"/>
      <c r="C151" s="875"/>
      <c r="D151" s="875"/>
      <c r="E151" s="877"/>
      <c r="F151" s="877"/>
      <c r="G151" s="877"/>
      <c r="H151" s="875"/>
      <c r="I151" s="875"/>
      <c r="J151" s="875"/>
      <c r="K151" s="878"/>
      <c r="L151" s="875"/>
      <c r="M151" s="875"/>
      <c r="N151" s="875"/>
      <c r="O151" s="875"/>
      <c r="P151" s="875"/>
      <c r="Q151" s="875"/>
      <c r="R151" s="875"/>
      <c r="S151" s="875"/>
      <c r="T151" s="875"/>
      <c r="U151" s="875"/>
      <c r="V151" s="720"/>
      <c r="W151" s="720"/>
      <c r="X151" s="720"/>
      <c r="Y151" s="720"/>
      <c r="Z151" s="720"/>
      <c r="AA151" s="720"/>
      <c r="AB151" s="720"/>
    </row>
    <row r="152" spans="1:28" ht="12.75" hidden="1" customHeight="1">
      <c r="A152" s="873"/>
      <c r="B152" s="874"/>
      <c r="C152" s="875"/>
      <c r="D152" s="875"/>
      <c r="E152" s="877"/>
      <c r="F152" s="875"/>
      <c r="G152" s="877"/>
      <c r="H152" s="877"/>
      <c r="I152" s="875"/>
      <c r="J152" s="875"/>
      <c r="K152" s="878"/>
      <c r="L152" s="875"/>
      <c r="M152" s="875"/>
      <c r="N152" s="875"/>
      <c r="O152" s="875"/>
      <c r="P152" s="875"/>
      <c r="Q152" s="875"/>
      <c r="R152" s="875"/>
      <c r="S152" s="875"/>
      <c r="T152" s="875"/>
      <c r="U152" s="875"/>
      <c r="V152" s="720"/>
      <c r="W152" s="720"/>
      <c r="X152" s="720"/>
      <c r="Y152" s="720"/>
      <c r="Z152" s="720"/>
      <c r="AA152" s="720"/>
      <c r="AB152" s="720"/>
    </row>
    <row r="153" spans="1:28" ht="72" hidden="1" customHeight="1">
      <c r="A153" s="882"/>
      <c r="B153" s="883" t="s">
        <v>902</v>
      </c>
      <c r="C153" s="884" t="s">
        <v>903</v>
      </c>
      <c r="D153" s="884" t="s">
        <v>904</v>
      </c>
      <c r="E153" s="885"/>
      <c r="F153" s="886"/>
      <c r="G153" s="887"/>
      <c r="H153" s="886"/>
      <c r="I153" s="886"/>
      <c r="J153" s="886"/>
      <c r="K153" s="888"/>
      <c r="L153" s="886"/>
      <c r="M153" s="886"/>
      <c r="N153" s="886"/>
      <c r="O153" s="886"/>
      <c r="P153" s="886"/>
      <c r="Q153" s="886"/>
      <c r="R153" s="886"/>
      <c r="S153" s="886"/>
      <c r="T153" s="886"/>
      <c r="U153" s="886"/>
      <c r="V153" s="782"/>
      <c r="W153" s="782"/>
      <c r="X153" s="782"/>
      <c r="Y153" s="782"/>
      <c r="Z153" s="782"/>
      <c r="AA153" s="782"/>
      <c r="AB153" s="782"/>
    </row>
    <row r="154" spans="1:28" ht="19.5" hidden="1" customHeight="1">
      <c r="A154" s="884" t="s">
        <v>905</v>
      </c>
      <c r="B154" s="889">
        <f>E5+E13</f>
        <v>2410791.0872425581</v>
      </c>
      <c r="C154" s="890">
        <f>B154/B164</f>
        <v>0.57253047128372092</v>
      </c>
      <c r="D154" s="890">
        <f>B154/B165</f>
        <v>2.6515768862322519E-9</v>
      </c>
      <c r="E154" s="891"/>
      <c r="F154" s="875"/>
      <c r="G154" s="877"/>
      <c r="H154" s="875"/>
      <c r="I154" s="875"/>
      <c r="J154" s="875"/>
      <c r="K154" s="878"/>
      <c r="L154" s="875"/>
      <c r="M154" s="875"/>
      <c r="N154" s="875"/>
      <c r="O154" s="875"/>
      <c r="P154" s="875"/>
      <c r="Q154" s="875"/>
      <c r="R154" s="875"/>
      <c r="S154" s="875"/>
      <c r="T154" s="875"/>
      <c r="U154" s="875"/>
      <c r="V154" s="720"/>
      <c r="W154" s="720"/>
      <c r="X154" s="720"/>
      <c r="Y154" s="720"/>
      <c r="Z154" s="720"/>
      <c r="AA154" s="720"/>
      <c r="AB154" s="720"/>
    </row>
    <row r="155" spans="1:28" ht="19.5" hidden="1" customHeight="1">
      <c r="A155" s="884" t="s">
        <v>906</v>
      </c>
      <c r="B155" s="889">
        <f>E27+E38</f>
        <v>278440</v>
      </c>
      <c r="C155" s="890">
        <f>B155/B164</f>
        <v>6.6125756506996702E-2</v>
      </c>
      <c r="D155" s="890">
        <f>B155/B165</f>
        <v>3.0625012350073647E-10</v>
      </c>
      <c r="E155" s="891"/>
      <c r="F155" s="875"/>
      <c r="G155" s="877"/>
      <c r="H155" s="875"/>
      <c r="I155" s="875"/>
      <c r="J155" s="875"/>
      <c r="K155" s="878"/>
      <c r="L155" s="875"/>
      <c r="M155" s="875"/>
      <c r="N155" s="875"/>
      <c r="O155" s="875"/>
      <c r="P155" s="875"/>
      <c r="Q155" s="875"/>
      <c r="R155" s="875"/>
      <c r="S155" s="875"/>
      <c r="T155" s="875"/>
      <c r="U155" s="875"/>
      <c r="V155" s="720"/>
      <c r="W155" s="720"/>
      <c r="X155" s="720"/>
      <c r="Y155" s="720"/>
      <c r="Z155" s="720"/>
      <c r="AA155" s="720"/>
      <c r="AB155" s="720"/>
    </row>
    <row r="156" spans="1:28" ht="19.5" hidden="1" customHeight="1">
      <c r="A156" s="883" t="s">
        <v>907</v>
      </c>
      <c r="B156" s="882">
        <f>B154+B155</f>
        <v>2689231.0872425581</v>
      </c>
      <c r="C156" s="890">
        <f>B156/B164</f>
        <v>0.63865622779071762</v>
      </c>
      <c r="D156" s="890">
        <f>B156/B165</f>
        <v>2.9578270097329886E-9</v>
      </c>
      <c r="E156" s="891"/>
      <c r="F156" s="877"/>
      <c r="G156" s="877"/>
      <c r="H156" s="875"/>
      <c r="I156" s="875"/>
      <c r="J156" s="875"/>
      <c r="K156" s="878"/>
      <c r="L156" s="875"/>
      <c r="M156" s="875"/>
      <c r="N156" s="875"/>
      <c r="O156" s="875"/>
      <c r="P156" s="875"/>
      <c r="Q156" s="875"/>
      <c r="R156" s="875"/>
      <c r="S156" s="875"/>
      <c r="T156" s="875"/>
      <c r="U156" s="875"/>
      <c r="V156" s="720"/>
      <c r="W156" s="720"/>
      <c r="X156" s="720"/>
      <c r="Y156" s="720"/>
      <c r="Z156" s="720"/>
      <c r="AA156" s="720"/>
      <c r="AB156" s="720"/>
    </row>
    <row r="157" spans="1:28" ht="32.25" hidden="1" customHeight="1">
      <c r="A157" s="884" t="s">
        <v>908</v>
      </c>
      <c r="B157" s="889">
        <f>E57+E45</f>
        <v>345400</v>
      </c>
      <c r="C157" s="890">
        <f>B157/B164</f>
        <v>8.2027856261732021E-2</v>
      </c>
      <c r="D157" s="890">
        <f>B157/B165</f>
        <v>3.7989797678909057E-10</v>
      </c>
      <c r="E157" s="891"/>
      <c r="F157" s="875"/>
      <c r="G157" s="877"/>
      <c r="H157" s="875"/>
      <c r="I157" s="875"/>
      <c r="J157" s="875"/>
      <c r="K157" s="878"/>
      <c r="L157" s="875"/>
      <c r="M157" s="875"/>
      <c r="N157" s="875"/>
      <c r="O157" s="875"/>
      <c r="P157" s="875"/>
      <c r="Q157" s="875"/>
      <c r="R157" s="875"/>
      <c r="S157" s="875"/>
      <c r="T157" s="875"/>
      <c r="U157" s="875"/>
      <c r="V157" s="720"/>
      <c r="W157" s="720"/>
      <c r="X157" s="720"/>
      <c r="Y157" s="720"/>
      <c r="Z157" s="720"/>
      <c r="AA157" s="720"/>
      <c r="AB157" s="720"/>
    </row>
    <row r="158" spans="1:28" ht="19.5" hidden="1" customHeight="1">
      <c r="A158" s="884" t="s">
        <v>909</v>
      </c>
      <c r="B158" s="889">
        <f>E67</f>
        <v>20000</v>
      </c>
      <c r="C158" s="892">
        <f>B158/B164</f>
        <v>4.7497311095386231E-3</v>
      </c>
      <c r="D158" s="892">
        <f>B158/B165</f>
        <v>2.1997566693056781E-11</v>
      </c>
      <c r="E158" s="873"/>
      <c r="F158" s="874"/>
      <c r="G158" s="893"/>
      <c r="H158" s="874"/>
      <c r="I158" s="874"/>
      <c r="J158" s="874"/>
      <c r="K158" s="894"/>
      <c r="L158" s="874"/>
      <c r="M158" s="874"/>
      <c r="N158" s="874"/>
      <c r="O158" s="874"/>
      <c r="P158" s="874"/>
      <c r="Q158" s="875"/>
      <c r="R158" s="875"/>
      <c r="S158" s="875"/>
      <c r="T158" s="875"/>
      <c r="U158" s="875"/>
      <c r="V158" s="720"/>
      <c r="W158" s="720"/>
      <c r="X158" s="720"/>
      <c r="Y158" s="720"/>
      <c r="Z158" s="720"/>
      <c r="AA158" s="720"/>
      <c r="AB158" s="720"/>
    </row>
    <row r="159" spans="1:28" ht="19.5" hidden="1" customHeight="1">
      <c r="A159" s="883" t="s">
        <v>816</v>
      </c>
      <c r="B159" s="882">
        <f>E70</f>
        <v>365400</v>
      </c>
      <c r="C159" s="895">
        <f>B159/B164</f>
        <v>8.6777587371270642E-2</v>
      </c>
      <c r="D159" s="895">
        <f>B159/B165</f>
        <v>4.0189554348214739E-10</v>
      </c>
      <c r="E159" s="896"/>
      <c r="F159" s="897"/>
      <c r="G159" s="898"/>
      <c r="H159" s="897"/>
      <c r="I159" s="897"/>
      <c r="J159" s="897"/>
      <c r="K159" s="899"/>
      <c r="L159" s="897"/>
      <c r="M159" s="897"/>
      <c r="N159" s="897"/>
      <c r="O159" s="897"/>
      <c r="P159" s="897"/>
      <c r="Q159" s="886"/>
      <c r="R159" s="886"/>
      <c r="S159" s="886"/>
      <c r="T159" s="886"/>
      <c r="U159" s="886"/>
      <c r="V159" s="782"/>
      <c r="W159" s="782"/>
      <c r="X159" s="782"/>
      <c r="Y159" s="782"/>
      <c r="Z159" s="782"/>
      <c r="AA159" s="782"/>
      <c r="AB159" s="782"/>
    </row>
    <row r="160" spans="1:28" ht="19.5" hidden="1" customHeight="1">
      <c r="A160" s="883" t="s">
        <v>844</v>
      </c>
      <c r="B160" s="882">
        <f>E86</f>
        <v>182596.02611146765</v>
      </c>
      <c r="C160" s="895">
        <f>B160/B164</f>
        <v>4.336410128498823E-2</v>
      </c>
      <c r="D160" s="892">
        <f>B160/B165</f>
        <v>2.0083341311370734E-10</v>
      </c>
      <c r="E160" s="873"/>
      <c r="F160" s="874"/>
      <c r="G160" s="893"/>
      <c r="H160" s="874"/>
      <c r="I160" s="874"/>
      <c r="J160" s="874"/>
      <c r="K160" s="894"/>
      <c r="L160" s="874"/>
      <c r="M160" s="874"/>
      <c r="N160" s="874"/>
      <c r="O160" s="874"/>
      <c r="P160" s="874"/>
      <c r="Q160" s="875"/>
      <c r="R160" s="875"/>
      <c r="S160" s="875"/>
      <c r="T160" s="875"/>
      <c r="U160" s="875"/>
      <c r="V160" s="720"/>
      <c r="W160" s="720"/>
      <c r="X160" s="720"/>
      <c r="Y160" s="720"/>
      <c r="Z160" s="720"/>
      <c r="AA160" s="720"/>
      <c r="AB160" s="720"/>
    </row>
    <row r="161" spans="1:28" ht="19.5" hidden="1" customHeight="1">
      <c r="A161" s="883" t="s">
        <v>852</v>
      </c>
      <c r="B161" s="882">
        <f>E97</f>
        <v>349060</v>
      </c>
      <c r="C161" s="895">
        <f>B161/B164</f>
        <v>8.2897057054777581E-2</v>
      </c>
      <c r="D161" s="892">
        <f>B161/B165</f>
        <v>3.8392353149391999E-10</v>
      </c>
      <c r="E161" s="873"/>
      <c r="F161" s="874"/>
      <c r="G161" s="893"/>
      <c r="H161" s="874"/>
      <c r="I161" s="874"/>
      <c r="J161" s="874"/>
      <c r="K161" s="894"/>
      <c r="L161" s="874"/>
      <c r="M161" s="874"/>
      <c r="N161" s="874"/>
      <c r="O161" s="874"/>
      <c r="P161" s="874"/>
      <c r="Q161" s="875"/>
      <c r="R161" s="875"/>
      <c r="S161" s="875"/>
      <c r="T161" s="875"/>
      <c r="U161" s="875"/>
      <c r="V161" s="720"/>
      <c r="W161" s="720"/>
      <c r="X161" s="720"/>
      <c r="Y161" s="720"/>
      <c r="Z161" s="720"/>
      <c r="AA161" s="720"/>
      <c r="AB161" s="720"/>
    </row>
    <row r="162" spans="1:28" ht="19.5" hidden="1" customHeight="1">
      <c r="A162" s="883" t="s">
        <v>910</v>
      </c>
      <c r="B162" s="882">
        <f>E121</f>
        <v>609477.5675844606</v>
      </c>
      <c r="C162" s="895">
        <f>B162/B164</f>
        <v>0.14474272816609204</v>
      </c>
      <c r="D162" s="892">
        <f>B162/B165</f>
        <v>6.7035117204305971E-10</v>
      </c>
      <c r="E162" s="873"/>
      <c r="F162" s="874"/>
      <c r="G162" s="893"/>
      <c r="H162" s="874"/>
      <c r="I162" s="874"/>
      <c r="J162" s="874"/>
      <c r="K162" s="894"/>
      <c r="L162" s="874"/>
      <c r="M162" s="874"/>
      <c r="N162" s="874"/>
      <c r="O162" s="874"/>
      <c r="P162" s="874"/>
      <c r="Q162" s="875"/>
      <c r="R162" s="875"/>
      <c r="S162" s="875"/>
      <c r="T162" s="875"/>
      <c r="U162" s="875"/>
      <c r="V162" s="720"/>
      <c r="W162" s="720"/>
      <c r="X162" s="720"/>
      <c r="Y162" s="720"/>
      <c r="Z162" s="720"/>
      <c r="AA162" s="720"/>
      <c r="AB162" s="720"/>
    </row>
    <row r="163" spans="1:28" ht="19.5" hidden="1" customHeight="1">
      <c r="A163" s="883" t="s">
        <v>911</v>
      </c>
      <c r="B163" s="882">
        <f>E126</f>
        <v>15000</v>
      </c>
      <c r="C163" s="900">
        <f>B163/B164</f>
        <v>3.5622983321539669E-3</v>
      </c>
      <c r="D163" s="901">
        <f>B163/B165</f>
        <v>1.6498175019792585E-11</v>
      </c>
      <c r="E163" s="873"/>
      <c r="F163" s="874"/>
      <c r="G163" s="893"/>
      <c r="H163" s="874"/>
      <c r="I163" s="874"/>
      <c r="J163" s="874"/>
      <c r="K163" s="894"/>
      <c r="L163" s="874"/>
      <c r="M163" s="874"/>
      <c r="N163" s="874"/>
      <c r="O163" s="874"/>
      <c r="P163" s="874"/>
      <c r="Q163" s="875"/>
      <c r="R163" s="875"/>
      <c r="S163" s="875"/>
      <c r="T163" s="875"/>
      <c r="U163" s="875"/>
      <c r="V163" s="720"/>
      <c r="W163" s="720"/>
      <c r="X163" s="720"/>
      <c r="Y163" s="720"/>
      <c r="Z163" s="720"/>
      <c r="AA163" s="720"/>
      <c r="AB163" s="720"/>
    </row>
    <row r="164" spans="1:28" ht="19.5" hidden="1" customHeight="1">
      <c r="A164" s="883" t="s">
        <v>912</v>
      </c>
      <c r="B164" s="882">
        <f>E127</f>
        <v>4210764.680938486</v>
      </c>
      <c r="C164" s="895"/>
      <c r="D164" s="892">
        <f>B164/B165</f>
        <v>4.6313288448856151E-9</v>
      </c>
      <c r="E164" s="873"/>
      <c r="F164" s="874"/>
      <c r="G164" s="893"/>
      <c r="H164" s="874"/>
      <c r="I164" s="874"/>
      <c r="J164" s="874"/>
      <c r="K164" s="894"/>
      <c r="L164" s="874"/>
      <c r="M164" s="874"/>
      <c r="N164" s="874"/>
      <c r="O164" s="874"/>
      <c r="P164" s="874"/>
      <c r="Q164" s="875"/>
      <c r="R164" s="875"/>
      <c r="S164" s="875"/>
      <c r="T164" s="875"/>
      <c r="U164" s="875"/>
      <c r="V164" s="720"/>
      <c r="W164" s="720"/>
      <c r="X164" s="720"/>
      <c r="Y164" s="720"/>
      <c r="Z164" s="720"/>
      <c r="AA164" s="720"/>
      <c r="AB164" s="720"/>
    </row>
    <row r="165" spans="1:28" ht="19.5" hidden="1" customHeight="1">
      <c r="A165" s="883" t="s">
        <v>913</v>
      </c>
      <c r="B165" s="882">
        <f>E131</f>
        <v>909191470087130.88</v>
      </c>
      <c r="C165" s="895"/>
      <c r="D165" s="895"/>
      <c r="E165" s="896"/>
      <c r="F165" s="897"/>
      <c r="G165" s="898"/>
      <c r="H165" s="897"/>
      <c r="I165" s="897"/>
      <c r="J165" s="897"/>
      <c r="K165" s="899"/>
      <c r="L165" s="897"/>
      <c r="M165" s="897"/>
      <c r="N165" s="897"/>
      <c r="O165" s="897"/>
      <c r="P165" s="897"/>
      <c r="Q165" s="886"/>
      <c r="R165" s="886"/>
      <c r="S165" s="886"/>
      <c r="T165" s="886"/>
      <c r="U165" s="886"/>
      <c r="V165" s="782"/>
      <c r="W165" s="782"/>
      <c r="X165" s="782"/>
      <c r="Y165" s="782"/>
      <c r="Z165" s="782"/>
      <c r="AA165" s="782"/>
      <c r="AB165" s="782"/>
    </row>
    <row r="166" spans="1:28" ht="12.75" hidden="1" customHeight="1">
      <c r="A166" s="873"/>
      <c r="B166" s="873"/>
      <c r="C166" s="873"/>
      <c r="D166" s="873"/>
      <c r="E166" s="873"/>
      <c r="F166" s="874"/>
      <c r="G166" s="893"/>
      <c r="H166" s="874"/>
      <c r="I166" s="874"/>
      <c r="J166" s="874"/>
      <c r="K166" s="894"/>
      <c r="L166" s="874"/>
      <c r="M166" s="874"/>
      <c r="N166" s="874"/>
      <c r="O166" s="874"/>
      <c r="P166" s="874"/>
      <c r="Q166" s="875"/>
      <c r="R166" s="875"/>
      <c r="S166" s="875"/>
      <c r="T166" s="875"/>
      <c r="U166" s="875"/>
      <c r="V166" s="720"/>
      <c r="W166" s="720"/>
      <c r="X166" s="720"/>
      <c r="Y166" s="720"/>
      <c r="Z166" s="720"/>
      <c r="AA166" s="720"/>
      <c r="AB166" s="720"/>
    </row>
    <row r="167" spans="1:28" ht="12.75" hidden="1" customHeight="1">
      <c r="A167" s="873"/>
      <c r="B167" s="874"/>
      <c r="C167" s="874"/>
      <c r="D167" s="874"/>
      <c r="E167" s="874"/>
      <c r="F167" s="874"/>
      <c r="G167" s="893"/>
      <c r="H167" s="874"/>
      <c r="I167" s="874"/>
      <c r="J167" s="874"/>
      <c r="K167" s="894"/>
      <c r="L167" s="874"/>
      <c r="M167" s="874"/>
      <c r="N167" s="874"/>
      <c r="O167" s="874"/>
      <c r="P167" s="874"/>
      <c r="Q167" s="875"/>
      <c r="R167" s="875"/>
      <c r="S167" s="875"/>
      <c r="T167" s="875"/>
      <c r="U167" s="875"/>
      <c r="V167" s="720"/>
      <c r="W167" s="720"/>
      <c r="X167" s="720"/>
      <c r="Y167" s="720"/>
      <c r="Z167" s="720"/>
      <c r="AA167" s="720"/>
      <c r="AB167" s="720"/>
    </row>
    <row r="168" spans="1:28" ht="12.75" hidden="1" customHeight="1">
      <c r="A168" s="873"/>
      <c r="B168" s="874"/>
      <c r="C168" s="874"/>
      <c r="D168" s="874"/>
      <c r="E168" s="874"/>
      <c r="F168" s="874"/>
      <c r="G168" s="893"/>
      <c r="H168" s="874"/>
      <c r="I168" s="874"/>
      <c r="J168" s="874"/>
      <c r="K168" s="894"/>
      <c r="L168" s="874"/>
      <c r="M168" s="874"/>
      <c r="N168" s="874"/>
      <c r="O168" s="874"/>
      <c r="P168" s="874"/>
      <c r="Q168" s="875"/>
      <c r="R168" s="875"/>
      <c r="S168" s="875"/>
      <c r="T168" s="875"/>
      <c r="U168" s="875"/>
      <c r="V168" s="720"/>
      <c r="W168" s="720"/>
      <c r="X168" s="720"/>
      <c r="Y168" s="720"/>
      <c r="Z168" s="720"/>
      <c r="AA168" s="720"/>
      <c r="AB168" s="720"/>
    </row>
    <row r="169" spans="1:28" ht="12.75" hidden="1" customHeight="1">
      <c r="A169" s="873"/>
      <c r="B169" s="874"/>
      <c r="C169" s="874"/>
      <c r="D169" s="874"/>
      <c r="E169" s="874"/>
      <c r="F169" s="874"/>
      <c r="G169" s="893"/>
      <c r="H169" s="874"/>
      <c r="I169" s="874"/>
      <c r="J169" s="874"/>
      <c r="K169" s="894"/>
      <c r="L169" s="874"/>
      <c r="M169" s="874"/>
      <c r="N169" s="874"/>
      <c r="O169" s="874"/>
      <c r="P169" s="874"/>
      <c r="Q169" s="875"/>
      <c r="R169" s="875"/>
      <c r="S169" s="875"/>
      <c r="T169" s="875"/>
      <c r="U169" s="875"/>
      <c r="V169" s="720"/>
      <c r="W169" s="720"/>
      <c r="X169" s="720"/>
      <c r="Y169" s="720"/>
      <c r="Z169" s="720"/>
      <c r="AA169" s="720"/>
      <c r="AB169" s="720"/>
    </row>
    <row r="170" spans="1:28" ht="12.75" hidden="1" customHeight="1">
      <c r="A170" s="873"/>
      <c r="B170" s="874"/>
      <c r="C170" s="874"/>
      <c r="D170" s="875"/>
      <c r="E170" s="874"/>
      <c r="F170" s="874"/>
      <c r="G170" s="893"/>
      <c r="H170" s="874"/>
      <c r="I170" s="874"/>
      <c r="J170" s="874"/>
      <c r="K170" s="894"/>
      <c r="L170" s="874"/>
      <c r="M170" s="874"/>
      <c r="N170" s="874"/>
      <c r="O170" s="874"/>
      <c r="P170" s="874"/>
      <c r="Q170" s="875"/>
      <c r="R170" s="875"/>
      <c r="S170" s="875"/>
      <c r="T170" s="875"/>
      <c r="U170" s="875"/>
      <c r="V170" s="720"/>
      <c r="W170" s="720"/>
      <c r="X170" s="720"/>
      <c r="Y170" s="720"/>
      <c r="Z170" s="720"/>
      <c r="AA170" s="720"/>
      <c r="AB170" s="720"/>
    </row>
    <row r="171" spans="1:28" ht="12.75" hidden="1" customHeight="1">
      <c r="A171" s="873"/>
      <c r="B171" s="874"/>
      <c r="C171" s="874"/>
      <c r="D171" s="875"/>
      <c r="E171" s="874"/>
      <c r="F171" s="874"/>
      <c r="G171" s="893"/>
      <c r="H171" s="874"/>
      <c r="I171" s="874"/>
      <c r="J171" s="874"/>
      <c r="K171" s="894"/>
      <c r="L171" s="874"/>
      <c r="M171" s="874"/>
      <c r="N171" s="874"/>
      <c r="O171" s="874"/>
      <c r="P171" s="874"/>
      <c r="Q171" s="875"/>
      <c r="R171" s="875"/>
      <c r="S171" s="875"/>
      <c r="T171" s="875"/>
      <c r="U171" s="875"/>
      <c r="V171" s="720"/>
      <c r="W171" s="720"/>
      <c r="X171" s="720"/>
      <c r="Y171" s="720"/>
      <c r="Z171" s="720"/>
      <c r="AA171" s="720"/>
      <c r="AB171" s="720"/>
    </row>
    <row r="172" spans="1:28" ht="12.75" hidden="1" customHeight="1">
      <c r="A172" s="873"/>
      <c r="B172" s="874"/>
      <c r="C172" s="874"/>
      <c r="D172" s="875"/>
      <c r="E172" s="874"/>
      <c r="F172" s="874"/>
      <c r="G172" s="893"/>
      <c r="H172" s="874"/>
      <c r="I172" s="874"/>
      <c r="J172" s="874"/>
      <c r="K172" s="894"/>
      <c r="L172" s="874"/>
      <c r="M172" s="874"/>
      <c r="N172" s="874"/>
      <c r="O172" s="874"/>
      <c r="P172" s="874"/>
      <c r="Q172" s="875"/>
      <c r="R172" s="875"/>
      <c r="S172" s="875"/>
      <c r="T172" s="875"/>
      <c r="U172" s="875"/>
      <c r="V172" s="720"/>
      <c r="W172" s="720"/>
      <c r="X172" s="720"/>
      <c r="Y172" s="720"/>
      <c r="Z172" s="720"/>
      <c r="AA172" s="720"/>
      <c r="AB172" s="720"/>
    </row>
    <row r="173" spans="1:28" ht="12.75" hidden="1" customHeight="1">
      <c r="A173" s="873"/>
      <c r="B173" s="874"/>
      <c r="C173" s="874"/>
      <c r="D173" s="874"/>
      <c r="E173" s="874"/>
      <c r="F173" s="874"/>
      <c r="G173" s="893"/>
      <c r="H173" s="874"/>
      <c r="I173" s="874"/>
      <c r="J173" s="874"/>
      <c r="K173" s="894"/>
      <c r="L173" s="874"/>
      <c r="M173" s="874"/>
      <c r="N173" s="874"/>
      <c r="O173" s="874"/>
      <c r="P173" s="874"/>
      <c r="Q173" s="875"/>
      <c r="R173" s="875"/>
      <c r="S173" s="875"/>
      <c r="T173" s="875"/>
      <c r="U173" s="875"/>
      <c r="V173" s="720"/>
      <c r="W173" s="720"/>
      <c r="X173" s="720"/>
      <c r="Y173" s="720"/>
      <c r="Z173" s="720"/>
      <c r="AA173" s="720"/>
      <c r="AB173" s="720"/>
    </row>
    <row r="174" spans="1:28" ht="12.75" hidden="1" customHeight="1">
      <c r="A174" s="873"/>
      <c r="B174" s="874"/>
      <c r="C174" s="874"/>
      <c r="D174" s="874"/>
      <c r="E174" s="874"/>
      <c r="F174" s="874"/>
      <c r="G174" s="893"/>
      <c r="H174" s="874"/>
      <c r="I174" s="874"/>
      <c r="J174" s="874"/>
      <c r="K174" s="894"/>
      <c r="L174" s="874"/>
      <c r="M174" s="874"/>
      <c r="N174" s="874"/>
      <c r="O174" s="874"/>
      <c r="P174" s="874"/>
      <c r="Q174" s="875"/>
      <c r="R174" s="875"/>
      <c r="S174" s="875"/>
      <c r="T174" s="875"/>
      <c r="U174" s="875"/>
      <c r="V174" s="720"/>
      <c r="W174" s="720"/>
      <c r="X174" s="720"/>
      <c r="Y174" s="720"/>
      <c r="Z174" s="720"/>
      <c r="AA174" s="720"/>
      <c r="AB174" s="720"/>
    </row>
    <row r="175" spans="1:28" ht="12.75" hidden="1" customHeight="1">
      <c r="A175" s="873"/>
      <c r="B175" s="874"/>
      <c r="C175" s="874"/>
      <c r="D175" s="874"/>
      <c r="E175" s="874"/>
      <c r="F175" s="874"/>
      <c r="G175" s="893"/>
      <c r="H175" s="874"/>
      <c r="I175" s="874"/>
      <c r="J175" s="874"/>
      <c r="K175" s="894"/>
      <c r="L175" s="874"/>
      <c r="M175" s="874"/>
      <c r="N175" s="874"/>
      <c r="O175" s="874"/>
      <c r="P175" s="874"/>
      <c r="Q175" s="875"/>
      <c r="R175" s="875"/>
      <c r="S175" s="875"/>
      <c r="T175" s="875"/>
      <c r="U175" s="875"/>
      <c r="V175" s="720"/>
      <c r="W175" s="720"/>
      <c r="X175" s="720"/>
      <c r="Y175" s="720"/>
      <c r="Z175" s="720"/>
      <c r="AA175" s="720"/>
      <c r="AB175" s="720"/>
    </row>
    <row r="176" spans="1:28" ht="12.75" hidden="1" customHeight="1">
      <c r="A176" s="873"/>
      <c r="B176" s="874"/>
      <c r="C176" s="874"/>
      <c r="D176" s="874"/>
      <c r="E176" s="874"/>
      <c r="F176" s="874"/>
      <c r="G176" s="893"/>
      <c r="H176" s="874"/>
      <c r="I176" s="874"/>
      <c r="J176" s="874"/>
      <c r="K176" s="894"/>
      <c r="L176" s="874"/>
      <c r="M176" s="874"/>
      <c r="N176" s="874"/>
      <c r="O176" s="874"/>
      <c r="P176" s="874"/>
      <c r="Q176" s="875"/>
      <c r="R176" s="875"/>
      <c r="S176" s="875"/>
      <c r="T176" s="875"/>
      <c r="U176" s="875"/>
      <c r="V176" s="720"/>
      <c r="W176" s="720"/>
      <c r="X176" s="720"/>
      <c r="Y176" s="720"/>
      <c r="Z176" s="720"/>
      <c r="AA176" s="720"/>
      <c r="AB176" s="720"/>
    </row>
    <row r="177" spans="1:28" ht="12.75" hidden="1" customHeight="1">
      <c r="A177" s="873"/>
      <c r="B177" s="874"/>
      <c r="C177" s="874"/>
      <c r="D177" s="874"/>
      <c r="E177" s="874"/>
      <c r="F177" s="874"/>
      <c r="G177" s="893"/>
      <c r="H177" s="874"/>
      <c r="I177" s="874"/>
      <c r="J177" s="874"/>
      <c r="K177" s="894"/>
      <c r="L177" s="874"/>
      <c r="M177" s="874"/>
      <c r="N177" s="874"/>
      <c r="O177" s="874"/>
      <c r="P177" s="874"/>
      <c r="Q177" s="875"/>
      <c r="R177" s="875"/>
      <c r="S177" s="875"/>
      <c r="T177" s="875"/>
      <c r="U177" s="875"/>
      <c r="V177" s="720"/>
      <c r="W177" s="720"/>
      <c r="X177" s="720"/>
      <c r="Y177" s="720"/>
      <c r="Z177" s="720"/>
      <c r="AA177" s="720"/>
      <c r="AB177" s="720"/>
    </row>
    <row r="178" spans="1:28" ht="12.75" hidden="1" customHeight="1">
      <c r="A178" s="873"/>
      <c r="B178" s="874"/>
      <c r="C178" s="874"/>
      <c r="D178" s="874"/>
      <c r="E178" s="874"/>
      <c r="F178" s="874"/>
      <c r="G178" s="893"/>
      <c r="H178" s="874"/>
      <c r="I178" s="874"/>
      <c r="J178" s="874"/>
      <c r="K178" s="894"/>
      <c r="L178" s="874"/>
      <c r="M178" s="874"/>
      <c r="N178" s="874"/>
      <c r="O178" s="874"/>
      <c r="P178" s="874"/>
      <c r="Q178" s="875"/>
      <c r="R178" s="875"/>
      <c r="S178" s="875"/>
      <c r="T178" s="875"/>
      <c r="U178" s="875"/>
      <c r="V178" s="720"/>
      <c r="W178" s="720"/>
      <c r="X178" s="720"/>
      <c r="Y178" s="720"/>
      <c r="Z178" s="720"/>
      <c r="AA178" s="720"/>
      <c r="AB178" s="720"/>
    </row>
    <row r="179" spans="1:28" ht="12.75" hidden="1" customHeight="1">
      <c r="A179" s="873"/>
      <c r="B179" s="874"/>
      <c r="C179" s="874"/>
      <c r="D179" s="874"/>
      <c r="E179" s="874"/>
      <c r="F179" s="874"/>
      <c r="G179" s="893"/>
      <c r="H179" s="874"/>
      <c r="I179" s="874"/>
      <c r="J179" s="874"/>
      <c r="K179" s="894"/>
      <c r="L179" s="874"/>
      <c r="M179" s="874"/>
      <c r="N179" s="874"/>
      <c r="O179" s="874"/>
      <c r="P179" s="874"/>
      <c r="Q179" s="875"/>
      <c r="R179" s="875"/>
      <c r="S179" s="875"/>
      <c r="T179" s="875"/>
      <c r="U179" s="875"/>
      <c r="V179" s="720"/>
      <c r="W179" s="720"/>
      <c r="X179" s="720"/>
      <c r="Y179" s="720"/>
      <c r="Z179" s="720"/>
      <c r="AA179" s="720"/>
      <c r="AB179" s="720"/>
    </row>
    <row r="180" spans="1:28" ht="12.75" hidden="1" customHeight="1">
      <c r="A180" s="873"/>
      <c r="B180" s="874"/>
      <c r="C180" s="874"/>
      <c r="D180" s="874"/>
      <c r="E180" s="874"/>
      <c r="F180" s="874"/>
      <c r="G180" s="893"/>
      <c r="H180" s="874"/>
      <c r="I180" s="874"/>
      <c r="J180" s="874"/>
      <c r="K180" s="894"/>
      <c r="L180" s="874"/>
      <c r="M180" s="874"/>
      <c r="N180" s="874"/>
      <c r="O180" s="874"/>
      <c r="P180" s="874"/>
      <c r="Q180" s="875"/>
      <c r="R180" s="875"/>
      <c r="S180" s="875"/>
      <c r="T180" s="875"/>
      <c r="U180" s="875"/>
      <c r="V180" s="720"/>
      <c r="W180" s="720"/>
      <c r="X180" s="720"/>
      <c r="Y180" s="720"/>
      <c r="Z180" s="720"/>
      <c r="AA180" s="720"/>
      <c r="AB180" s="720"/>
    </row>
    <row r="181" spans="1:28" ht="12.75" hidden="1" customHeight="1">
      <c r="A181" s="873"/>
      <c r="B181" s="874"/>
      <c r="C181" s="874"/>
      <c r="D181" s="874"/>
      <c r="E181" s="874"/>
      <c r="F181" s="874"/>
      <c r="G181" s="893"/>
      <c r="H181" s="874"/>
      <c r="I181" s="874"/>
      <c r="J181" s="874"/>
      <c r="K181" s="894"/>
      <c r="L181" s="874"/>
      <c r="M181" s="874"/>
      <c r="N181" s="874"/>
      <c r="O181" s="874"/>
      <c r="P181" s="874"/>
      <c r="Q181" s="875"/>
      <c r="R181" s="875"/>
      <c r="S181" s="875"/>
      <c r="T181" s="875"/>
      <c r="U181" s="875"/>
      <c r="V181" s="720"/>
      <c r="W181" s="720"/>
      <c r="X181" s="720"/>
      <c r="Y181" s="720"/>
      <c r="Z181" s="720"/>
      <c r="AA181" s="720"/>
      <c r="AB181" s="720"/>
    </row>
    <row r="182" spans="1:28" ht="12.75" hidden="1" customHeight="1">
      <c r="A182" s="873"/>
      <c r="B182" s="874"/>
      <c r="C182" s="874"/>
      <c r="D182" s="874"/>
      <c r="E182" s="874"/>
      <c r="F182" s="874"/>
      <c r="G182" s="893"/>
      <c r="H182" s="874"/>
      <c r="I182" s="874"/>
      <c r="J182" s="874"/>
      <c r="K182" s="894"/>
      <c r="L182" s="874"/>
      <c r="M182" s="874"/>
      <c r="N182" s="874"/>
      <c r="O182" s="874"/>
      <c r="P182" s="874"/>
      <c r="Q182" s="875"/>
      <c r="R182" s="875"/>
      <c r="S182" s="875"/>
      <c r="T182" s="875"/>
      <c r="U182" s="875"/>
      <c r="V182" s="720"/>
      <c r="W182" s="720"/>
      <c r="X182" s="720"/>
      <c r="Y182" s="720"/>
      <c r="Z182" s="720"/>
      <c r="AA182" s="720"/>
      <c r="AB182" s="720"/>
    </row>
    <row r="183" spans="1:28" ht="12.75" hidden="1" customHeight="1">
      <c r="A183" s="873"/>
      <c r="B183" s="874"/>
      <c r="C183" s="874"/>
      <c r="D183" s="874"/>
      <c r="E183" s="874"/>
      <c r="F183" s="874"/>
      <c r="G183" s="893"/>
      <c r="H183" s="874"/>
      <c r="I183" s="874"/>
      <c r="J183" s="874"/>
      <c r="K183" s="894"/>
      <c r="L183" s="874"/>
      <c r="M183" s="874"/>
      <c r="N183" s="874"/>
      <c r="O183" s="874"/>
      <c r="P183" s="874"/>
      <c r="Q183" s="875"/>
      <c r="R183" s="875"/>
      <c r="S183" s="875"/>
      <c r="T183" s="875"/>
      <c r="U183" s="875"/>
      <c r="V183" s="720"/>
      <c r="W183" s="720"/>
      <c r="X183" s="720"/>
      <c r="Y183" s="720"/>
      <c r="Z183" s="720"/>
      <c r="AA183" s="720"/>
      <c r="AB183" s="720"/>
    </row>
    <row r="184" spans="1:28" ht="12.75" hidden="1" customHeight="1">
      <c r="A184" s="873"/>
      <c r="B184" s="874"/>
      <c r="C184" s="874"/>
      <c r="D184" s="874"/>
      <c r="E184" s="874"/>
      <c r="F184" s="874"/>
      <c r="G184" s="893"/>
      <c r="H184" s="874"/>
      <c r="I184" s="874"/>
      <c r="J184" s="874"/>
      <c r="K184" s="894"/>
      <c r="L184" s="874"/>
      <c r="M184" s="874"/>
      <c r="N184" s="874"/>
      <c r="O184" s="874"/>
      <c r="P184" s="874"/>
      <c r="Q184" s="875"/>
      <c r="R184" s="875"/>
      <c r="S184" s="875"/>
      <c r="T184" s="875"/>
      <c r="U184" s="875"/>
      <c r="V184" s="720"/>
      <c r="W184" s="720"/>
      <c r="X184" s="720"/>
      <c r="Y184" s="720"/>
      <c r="Z184" s="720"/>
      <c r="AA184" s="720"/>
      <c r="AB184" s="720"/>
    </row>
    <row r="185" spans="1:28" ht="12.75" hidden="1" customHeight="1">
      <c r="A185" s="873"/>
      <c r="B185" s="874"/>
      <c r="C185" s="874"/>
      <c r="D185" s="874"/>
      <c r="E185" s="874"/>
      <c r="F185" s="874"/>
      <c r="G185" s="893"/>
      <c r="H185" s="874"/>
      <c r="I185" s="874"/>
      <c r="J185" s="874"/>
      <c r="K185" s="894"/>
      <c r="L185" s="874"/>
      <c r="M185" s="874"/>
      <c r="N185" s="874"/>
      <c r="O185" s="874"/>
      <c r="P185" s="874"/>
      <c r="Q185" s="875"/>
      <c r="R185" s="875"/>
      <c r="S185" s="875"/>
      <c r="T185" s="875"/>
      <c r="U185" s="875"/>
      <c r="V185" s="720"/>
      <c r="W185" s="720"/>
      <c r="X185" s="720"/>
      <c r="Y185" s="720"/>
      <c r="Z185" s="720"/>
      <c r="AA185" s="720"/>
      <c r="AB185" s="720"/>
    </row>
    <row r="186" spans="1:28" ht="12.75" hidden="1" customHeight="1">
      <c r="A186" s="873"/>
      <c r="B186" s="874"/>
      <c r="C186" s="874"/>
      <c r="D186" s="874"/>
      <c r="E186" s="874"/>
      <c r="F186" s="874"/>
      <c r="G186" s="893"/>
      <c r="H186" s="874"/>
      <c r="I186" s="874"/>
      <c r="J186" s="874"/>
      <c r="K186" s="894"/>
      <c r="L186" s="874"/>
      <c r="M186" s="874"/>
      <c r="N186" s="874"/>
      <c r="O186" s="874"/>
      <c r="P186" s="874"/>
      <c r="Q186" s="875"/>
      <c r="R186" s="875"/>
      <c r="S186" s="875"/>
      <c r="T186" s="875"/>
      <c r="U186" s="875"/>
      <c r="V186" s="720"/>
      <c r="W186" s="720"/>
      <c r="X186" s="720"/>
      <c r="Y186" s="720"/>
      <c r="Z186" s="720"/>
      <c r="AA186" s="720"/>
      <c r="AB186" s="720"/>
    </row>
    <row r="187" spans="1:28" ht="12.75" hidden="1" customHeight="1">
      <c r="A187" s="873"/>
      <c r="B187" s="874"/>
      <c r="C187" s="874"/>
      <c r="D187" s="874"/>
      <c r="E187" s="874"/>
      <c r="F187" s="874"/>
      <c r="G187" s="893"/>
      <c r="H187" s="874"/>
      <c r="I187" s="874"/>
      <c r="J187" s="874"/>
      <c r="K187" s="894"/>
      <c r="L187" s="874"/>
      <c r="M187" s="874"/>
      <c r="N187" s="874"/>
      <c r="O187" s="874"/>
      <c r="P187" s="874"/>
      <c r="Q187" s="875"/>
      <c r="R187" s="875"/>
      <c r="S187" s="875"/>
      <c r="T187" s="875"/>
      <c r="U187" s="875"/>
      <c r="V187" s="720"/>
      <c r="W187" s="720"/>
      <c r="X187" s="720"/>
      <c r="Y187" s="720"/>
      <c r="Z187" s="720"/>
      <c r="AA187" s="720"/>
      <c r="AB187" s="720"/>
    </row>
    <row r="188" spans="1:28" ht="12.75" hidden="1" customHeight="1">
      <c r="A188" s="873"/>
      <c r="B188" s="874"/>
      <c r="C188" s="874"/>
      <c r="D188" s="874"/>
      <c r="E188" s="874"/>
      <c r="F188" s="874"/>
      <c r="G188" s="893"/>
      <c r="H188" s="874"/>
      <c r="I188" s="874"/>
      <c r="J188" s="874"/>
      <c r="K188" s="894"/>
      <c r="L188" s="874"/>
      <c r="M188" s="874"/>
      <c r="N188" s="874"/>
      <c r="O188" s="874"/>
      <c r="P188" s="874"/>
      <c r="Q188" s="875"/>
      <c r="R188" s="875"/>
      <c r="S188" s="875"/>
      <c r="T188" s="875"/>
      <c r="U188" s="875"/>
      <c r="V188" s="720"/>
      <c r="W188" s="720"/>
      <c r="X188" s="720"/>
      <c r="Y188" s="720"/>
      <c r="Z188" s="720"/>
      <c r="AA188" s="720"/>
      <c r="AB188" s="720"/>
    </row>
    <row r="189" spans="1:28" ht="12.75" hidden="1" customHeight="1">
      <c r="A189" s="873"/>
      <c r="B189" s="874"/>
      <c r="C189" s="874"/>
      <c r="D189" s="874"/>
      <c r="E189" s="874"/>
      <c r="F189" s="874"/>
      <c r="G189" s="893"/>
      <c r="H189" s="874"/>
      <c r="I189" s="874"/>
      <c r="J189" s="874"/>
      <c r="K189" s="894"/>
      <c r="L189" s="874"/>
      <c r="M189" s="874"/>
      <c r="N189" s="874"/>
      <c r="O189" s="874"/>
      <c r="P189" s="874"/>
      <c r="Q189" s="875"/>
      <c r="R189" s="875"/>
      <c r="S189" s="875"/>
      <c r="T189" s="875"/>
      <c r="U189" s="875"/>
      <c r="V189" s="720"/>
      <c r="W189" s="720"/>
      <c r="X189" s="720"/>
      <c r="Y189" s="720"/>
      <c r="Z189" s="720"/>
      <c r="AA189" s="720"/>
      <c r="AB189" s="720"/>
    </row>
    <row r="190" spans="1:28" ht="12.75" hidden="1" customHeight="1">
      <c r="A190" s="873"/>
      <c r="B190" s="874"/>
      <c r="C190" s="874"/>
      <c r="D190" s="874"/>
      <c r="E190" s="874"/>
      <c r="F190" s="874"/>
      <c r="G190" s="893"/>
      <c r="H190" s="874"/>
      <c r="I190" s="874"/>
      <c r="J190" s="874"/>
      <c r="K190" s="894"/>
      <c r="L190" s="874"/>
      <c r="M190" s="874"/>
      <c r="N190" s="874"/>
      <c r="O190" s="874"/>
      <c r="P190" s="874"/>
      <c r="Q190" s="875"/>
      <c r="R190" s="875"/>
      <c r="S190" s="875"/>
      <c r="T190" s="875"/>
      <c r="U190" s="875"/>
      <c r="V190" s="720"/>
      <c r="W190" s="720"/>
      <c r="X190" s="720"/>
      <c r="Y190" s="720"/>
      <c r="Z190" s="720"/>
      <c r="AA190" s="720"/>
      <c r="AB190" s="720"/>
    </row>
    <row r="191" spans="1:28" ht="12.75" hidden="1" customHeight="1">
      <c r="A191" s="873"/>
      <c r="B191" s="874"/>
      <c r="C191" s="874"/>
      <c r="D191" s="874"/>
      <c r="E191" s="874"/>
      <c r="F191" s="874"/>
      <c r="G191" s="893"/>
      <c r="H191" s="874"/>
      <c r="I191" s="874"/>
      <c r="J191" s="874"/>
      <c r="K191" s="894"/>
      <c r="L191" s="874"/>
      <c r="M191" s="874"/>
      <c r="N191" s="874"/>
      <c r="O191" s="874"/>
      <c r="P191" s="874"/>
      <c r="Q191" s="875"/>
      <c r="R191" s="875"/>
      <c r="S191" s="875"/>
      <c r="T191" s="875"/>
      <c r="U191" s="875"/>
      <c r="V191" s="720"/>
      <c r="W191" s="720"/>
      <c r="X191" s="720"/>
      <c r="Y191" s="720"/>
      <c r="Z191" s="720"/>
      <c r="AA191" s="720"/>
      <c r="AB191" s="720"/>
    </row>
    <row r="192" spans="1:28" ht="12.75" hidden="1" customHeight="1">
      <c r="A192" s="873"/>
      <c r="B192" s="874"/>
      <c r="C192" s="874"/>
      <c r="D192" s="874"/>
      <c r="E192" s="874"/>
      <c r="F192" s="874"/>
      <c r="G192" s="893"/>
      <c r="H192" s="874"/>
      <c r="I192" s="874"/>
      <c r="J192" s="874"/>
      <c r="K192" s="894"/>
      <c r="L192" s="874"/>
      <c r="M192" s="874"/>
      <c r="N192" s="874"/>
      <c r="O192" s="874"/>
      <c r="P192" s="874"/>
      <c r="Q192" s="875"/>
      <c r="R192" s="875"/>
      <c r="S192" s="875"/>
      <c r="T192" s="875"/>
      <c r="U192" s="875"/>
      <c r="V192" s="720"/>
      <c r="W192" s="720"/>
      <c r="X192" s="720"/>
      <c r="Y192" s="720"/>
      <c r="Z192" s="720"/>
      <c r="AA192" s="720"/>
      <c r="AB192" s="720"/>
    </row>
    <row r="193" spans="1:28" ht="12.75" hidden="1" customHeight="1">
      <c r="A193" s="873"/>
      <c r="B193" s="874"/>
      <c r="C193" s="874"/>
      <c r="D193" s="874"/>
      <c r="E193" s="874"/>
      <c r="F193" s="874"/>
      <c r="G193" s="893"/>
      <c r="H193" s="874"/>
      <c r="I193" s="874"/>
      <c r="J193" s="874"/>
      <c r="K193" s="894"/>
      <c r="L193" s="874"/>
      <c r="M193" s="874"/>
      <c r="N193" s="874"/>
      <c r="O193" s="874"/>
      <c r="P193" s="874"/>
      <c r="Q193" s="875"/>
      <c r="R193" s="875"/>
      <c r="S193" s="875"/>
      <c r="T193" s="875"/>
      <c r="U193" s="875"/>
      <c r="V193" s="720"/>
      <c r="W193" s="720"/>
      <c r="X193" s="720"/>
      <c r="Y193" s="720"/>
      <c r="Z193" s="720"/>
      <c r="AA193" s="720"/>
      <c r="AB193" s="720"/>
    </row>
    <row r="194" spans="1:28" ht="12.75" hidden="1" customHeight="1">
      <c r="A194" s="873"/>
      <c r="B194" s="874"/>
      <c r="C194" s="874"/>
      <c r="D194" s="874"/>
      <c r="E194" s="874"/>
      <c r="F194" s="874"/>
      <c r="G194" s="893"/>
      <c r="H194" s="874"/>
      <c r="I194" s="874"/>
      <c r="J194" s="874"/>
      <c r="K194" s="894"/>
      <c r="L194" s="874"/>
      <c r="M194" s="874"/>
      <c r="N194" s="874"/>
      <c r="O194" s="874"/>
      <c r="P194" s="874"/>
      <c r="Q194" s="875"/>
      <c r="R194" s="875"/>
      <c r="S194" s="875"/>
      <c r="T194" s="875"/>
      <c r="U194" s="875"/>
      <c r="V194" s="720"/>
      <c r="W194" s="720"/>
      <c r="X194" s="720"/>
      <c r="Y194" s="720"/>
      <c r="Z194" s="720"/>
      <c r="AA194" s="720"/>
      <c r="AB194" s="720"/>
    </row>
    <row r="195" spans="1:28" ht="12.75" hidden="1" customHeight="1">
      <c r="A195" s="873"/>
      <c r="B195" s="874"/>
      <c r="C195" s="874"/>
      <c r="D195" s="874"/>
      <c r="E195" s="874"/>
      <c r="F195" s="874"/>
      <c r="G195" s="893"/>
      <c r="H195" s="874"/>
      <c r="I195" s="874"/>
      <c r="J195" s="874"/>
      <c r="K195" s="894"/>
      <c r="L195" s="874"/>
      <c r="M195" s="874"/>
      <c r="N195" s="874"/>
      <c r="O195" s="874"/>
      <c r="P195" s="874"/>
      <c r="Q195" s="875"/>
      <c r="R195" s="875"/>
      <c r="S195" s="875"/>
      <c r="T195" s="875"/>
      <c r="U195" s="875"/>
      <c r="V195" s="720"/>
      <c r="W195" s="720"/>
      <c r="X195" s="720"/>
      <c r="Y195" s="720"/>
      <c r="Z195" s="720"/>
      <c r="AA195" s="720"/>
      <c r="AB195" s="720"/>
    </row>
    <row r="196" spans="1:28" ht="12.75" hidden="1" customHeight="1">
      <c r="A196" s="873"/>
      <c r="B196" s="874"/>
      <c r="C196" s="874"/>
      <c r="D196" s="874"/>
      <c r="E196" s="874"/>
      <c r="F196" s="874"/>
      <c r="G196" s="893"/>
      <c r="H196" s="874"/>
      <c r="I196" s="874"/>
      <c r="J196" s="874"/>
      <c r="K196" s="894"/>
      <c r="L196" s="874"/>
      <c r="M196" s="874"/>
      <c r="N196" s="874"/>
      <c r="O196" s="874"/>
      <c r="P196" s="874"/>
      <c r="Q196" s="875"/>
      <c r="R196" s="875"/>
      <c r="S196" s="875"/>
      <c r="T196" s="875"/>
      <c r="U196" s="875"/>
      <c r="V196" s="720"/>
      <c r="W196" s="720"/>
      <c r="X196" s="720"/>
      <c r="Y196" s="720"/>
      <c r="Z196" s="720"/>
      <c r="AA196" s="720"/>
      <c r="AB196" s="720"/>
    </row>
    <row r="197" spans="1:28" ht="12.75" hidden="1" customHeight="1">
      <c r="A197" s="873"/>
      <c r="B197" s="874"/>
      <c r="C197" s="874"/>
      <c r="D197" s="874"/>
      <c r="E197" s="874"/>
      <c r="F197" s="874"/>
      <c r="G197" s="893"/>
      <c r="H197" s="874"/>
      <c r="I197" s="874"/>
      <c r="J197" s="874"/>
      <c r="K197" s="894"/>
      <c r="L197" s="874"/>
      <c r="M197" s="874"/>
      <c r="N197" s="874"/>
      <c r="O197" s="874"/>
      <c r="P197" s="874"/>
      <c r="Q197" s="875"/>
      <c r="R197" s="875"/>
      <c r="S197" s="875"/>
      <c r="T197" s="875"/>
      <c r="U197" s="875"/>
      <c r="V197" s="720"/>
      <c r="W197" s="720"/>
      <c r="X197" s="720"/>
      <c r="Y197" s="720"/>
      <c r="Z197" s="720"/>
      <c r="AA197" s="720"/>
      <c r="AB197" s="720"/>
    </row>
    <row r="198" spans="1:28" ht="12.75" hidden="1" customHeight="1">
      <c r="A198" s="873"/>
      <c r="B198" s="874"/>
      <c r="C198" s="874"/>
      <c r="D198" s="874"/>
      <c r="E198" s="874"/>
      <c r="F198" s="874"/>
      <c r="G198" s="893"/>
      <c r="H198" s="874"/>
      <c r="I198" s="874"/>
      <c r="J198" s="874"/>
      <c r="K198" s="894"/>
      <c r="L198" s="874"/>
      <c r="M198" s="874"/>
      <c r="N198" s="874"/>
      <c r="O198" s="874"/>
      <c r="P198" s="874"/>
      <c r="Q198" s="875"/>
      <c r="R198" s="875"/>
      <c r="S198" s="875"/>
      <c r="T198" s="875"/>
      <c r="U198" s="875"/>
      <c r="V198" s="720"/>
      <c r="W198" s="720"/>
      <c r="X198" s="720"/>
      <c r="Y198" s="720"/>
      <c r="Z198" s="720"/>
      <c r="AA198" s="720"/>
      <c r="AB198" s="720"/>
    </row>
    <row r="199" spans="1:28" ht="12.75" customHeight="1">
      <c r="A199" s="873"/>
      <c r="B199" s="874"/>
      <c r="C199" s="874"/>
      <c r="D199" s="874"/>
      <c r="E199" s="874"/>
      <c r="F199" s="874"/>
      <c r="G199" s="893"/>
      <c r="H199" s="874"/>
      <c r="I199" s="874"/>
      <c r="J199" s="874"/>
      <c r="K199" s="894"/>
      <c r="L199" s="874"/>
      <c r="M199" s="874"/>
      <c r="N199" s="874"/>
      <c r="O199" s="874"/>
      <c r="P199" s="874"/>
      <c r="Q199" s="875"/>
      <c r="R199" s="875"/>
      <c r="S199" s="875"/>
      <c r="T199" s="875"/>
      <c r="U199" s="875"/>
      <c r="V199" s="720"/>
      <c r="W199" s="720"/>
      <c r="X199" s="720"/>
      <c r="Y199" s="720"/>
      <c r="Z199" s="720"/>
      <c r="AA199" s="720"/>
      <c r="AB199" s="720"/>
    </row>
    <row r="200" spans="1:28" ht="12.75" customHeight="1">
      <c r="A200" s="873"/>
      <c r="B200" s="874"/>
      <c r="C200" s="874"/>
      <c r="D200" s="874"/>
      <c r="E200" s="874"/>
      <c r="F200" s="874"/>
      <c r="G200" s="893"/>
      <c r="H200" s="874"/>
      <c r="I200" s="874"/>
      <c r="J200" s="874"/>
      <c r="K200" s="894"/>
      <c r="L200" s="874"/>
      <c r="M200" s="874"/>
      <c r="N200" s="874"/>
      <c r="O200" s="874"/>
      <c r="P200" s="874"/>
      <c r="Q200" s="875"/>
      <c r="R200" s="875"/>
      <c r="S200" s="875"/>
      <c r="T200" s="875"/>
      <c r="U200" s="875"/>
      <c r="V200" s="720"/>
      <c r="W200" s="720"/>
      <c r="X200" s="720"/>
      <c r="Y200" s="720"/>
      <c r="Z200" s="720"/>
      <c r="AA200" s="720"/>
      <c r="AB200" s="720"/>
    </row>
    <row r="201" spans="1:28" ht="12.75" customHeight="1">
      <c r="A201" s="873"/>
      <c r="B201" s="874"/>
      <c r="C201" s="874"/>
      <c r="D201" s="874"/>
      <c r="E201" s="874"/>
      <c r="F201" s="874"/>
      <c r="G201" s="893"/>
      <c r="H201" s="874"/>
      <c r="I201" s="898"/>
      <c r="J201" s="874"/>
      <c r="K201" s="894"/>
      <c r="L201" s="874"/>
      <c r="M201" s="874"/>
      <c r="N201" s="874"/>
      <c r="O201" s="874"/>
      <c r="P201" s="874"/>
      <c r="Q201" s="877"/>
      <c r="R201" s="877"/>
      <c r="S201" s="875"/>
      <c r="T201" s="875"/>
      <c r="U201" s="875"/>
      <c r="V201" s="720"/>
      <c r="W201" s="720"/>
      <c r="X201" s="720"/>
      <c r="Y201" s="720"/>
      <c r="Z201" s="720"/>
      <c r="AA201" s="720"/>
      <c r="AB201" s="720"/>
    </row>
    <row r="202" spans="1:28" ht="12.75" customHeight="1">
      <c r="A202" s="873"/>
      <c r="B202" s="874"/>
      <c r="C202" s="874"/>
      <c r="D202" s="874"/>
      <c r="E202" s="874"/>
      <c r="F202" s="874"/>
      <c r="G202" s="893"/>
      <c r="H202" s="874"/>
      <c r="I202" s="893"/>
      <c r="J202" s="874"/>
      <c r="K202" s="894"/>
      <c r="L202" s="874"/>
      <c r="M202" s="874"/>
      <c r="N202" s="874"/>
      <c r="O202" s="874"/>
      <c r="P202" s="874"/>
      <c r="Q202" s="875"/>
      <c r="R202" s="875"/>
      <c r="S202" s="875"/>
      <c r="T202" s="875"/>
      <c r="U202" s="875"/>
      <c r="V202" s="720"/>
      <c r="W202" s="720"/>
      <c r="X202" s="720"/>
      <c r="Y202" s="720"/>
      <c r="Z202" s="720"/>
      <c r="AA202" s="720"/>
      <c r="AB202" s="720"/>
    </row>
    <row r="203" spans="1:28" ht="12.75" customHeight="1">
      <c r="A203" s="873"/>
      <c r="B203" s="874"/>
      <c r="C203" s="874"/>
      <c r="D203" s="874"/>
      <c r="E203" s="874"/>
      <c r="F203" s="874"/>
      <c r="G203" s="893"/>
      <c r="H203" s="874"/>
      <c r="I203" s="893"/>
      <c r="J203" s="874"/>
      <c r="K203" s="894"/>
      <c r="L203" s="874"/>
      <c r="M203" s="874"/>
      <c r="N203" s="874"/>
      <c r="O203" s="874"/>
      <c r="P203" s="874"/>
      <c r="Q203" s="875"/>
      <c r="R203" s="875"/>
      <c r="S203" s="875"/>
      <c r="T203" s="875"/>
      <c r="U203" s="875"/>
      <c r="V203" s="720"/>
      <c r="W203" s="720"/>
      <c r="X203" s="720"/>
      <c r="Y203" s="720"/>
      <c r="Z203" s="720"/>
      <c r="AA203" s="720"/>
      <c r="AB203" s="720"/>
    </row>
    <row r="204" spans="1:28" ht="12.75" customHeight="1">
      <c r="A204" s="873"/>
      <c r="B204" s="874"/>
      <c r="C204" s="874"/>
      <c r="D204" s="874"/>
      <c r="E204" s="874"/>
      <c r="F204" s="874"/>
      <c r="G204" s="893"/>
      <c r="H204" s="874"/>
      <c r="I204" s="893"/>
      <c r="J204" s="874"/>
      <c r="K204" s="894"/>
      <c r="L204" s="874"/>
      <c r="M204" s="874"/>
      <c r="N204" s="874"/>
      <c r="O204" s="874"/>
      <c r="P204" s="874"/>
      <c r="Q204" s="875"/>
      <c r="R204" s="875"/>
      <c r="S204" s="875"/>
      <c r="T204" s="875"/>
      <c r="U204" s="875"/>
      <c r="V204" s="720"/>
      <c r="W204" s="720"/>
      <c r="X204" s="720"/>
      <c r="Y204" s="720"/>
      <c r="Z204" s="720"/>
      <c r="AA204" s="720"/>
      <c r="AB204" s="720"/>
    </row>
    <row r="205" spans="1:28" ht="12.75" customHeight="1">
      <c r="A205" s="873"/>
      <c r="B205" s="874"/>
      <c r="C205" s="874"/>
      <c r="D205" s="874"/>
      <c r="E205" s="874"/>
      <c r="F205" s="874"/>
      <c r="G205" s="893"/>
      <c r="H205" s="874"/>
      <c r="I205" s="893"/>
      <c r="J205" s="874"/>
      <c r="K205" s="894"/>
      <c r="L205" s="874"/>
      <c r="M205" s="874"/>
      <c r="N205" s="874"/>
      <c r="O205" s="874"/>
      <c r="P205" s="874"/>
      <c r="Q205" s="875"/>
      <c r="R205" s="875"/>
      <c r="S205" s="875"/>
      <c r="T205" s="875"/>
      <c r="U205" s="875"/>
      <c r="V205" s="720"/>
      <c r="W205" s="720"/>
      <c r="X205" s="720"/>
      <c r="Y205" s="720"/>
      <c r="Z205" s="720"/>
      <c r="AA205" s="720"/>
      <c r="AB205" s="720"/>
    </row>
    <row r="206" spans="1:28" ht="12.75" customHeight="1">
      <c r="A206" s="873"/>
      <c r="B206" s="874"/>
      <c r="C206" s="874"/>
      <c r="D206" s="874"/>
      <c r="E206" s="874"/>
      <c r="F206" s="874"/>
      <c r="G206" s="893"/>
      <c r="H206" s="874"/>
      <c r="I206" s="893"/>
      <c r="J206" s="874"/>
      <c r="K206" s="894"/>
      <c r="L206" s="874"/>
      <c r="M206" s="874"/>
      <c r="N206" s="874"/>
      <c r="O206" s="874"/>
      <c r="P206" s="874"/>
      <c r="Q206" s="875"/>
      <c r="R206" s="875"/>
      <c r="S206" s="875"/>
      <c r="T206" s="875"/>
      <c r="U206" s="875"/>
      <c r="V206" s="720"/>
      <c r="W206" s="720"/>
      <c r="X206" s="720"/>
      <c r="Y206" s="720"/>
      <c r="Z206" s="720"/>
      <c r="AA206" s="720"/>
      <c r="AB206" s="720"/>
    </row>
    <row r="207" spans="1:28" ht="12.75" customHeight="1">
      <c r="A207" s="873"/>
      <c r="B207" s="874"/>
      <c r="C207" s="874"/>
      <c r="D207" s="874"/>
      <c r="E207" s="874"/>
      <c r="F207" s="874"/>
      <c r="G207" s="893"/>
      <c r="H207" s="874"/>
      <c r="I207" s="874"/>
      <c r="J207" s="874"/>
      <c r="K207" s="894"/>
      <c r="L207" s="874"/>
      <c r="M207" s="874"/>
      <c r="N207" s="874"/>
      <c r="O207" s="874"/>
      <c r="P207" s="874"/>
      <c r="Q207" s="875"/>
      <c r="R207" s="875"/>
      <c r="S207" s="875"/>
      <c r="T207" s="875"/>
      <c r="U207" s="875"/>
      <c r="V207" s="720"/>
      <c r="W207" s="720"/>
      <c r="X207" s="720"/>
      <c r="Y207" s="720"/>
      <c r="Z207" s="720"/>
      <c r="AA207" s="720"/>
      <c r="AB207" s="720"/>
    </row>
    <row r="208" spans="1:28" ht="12.75" customHeight="1">
      <c r="A208" s="873"/>
      <c r="B208" s="874"/>
      <c r="C208" s="874"/>
      <c r="D208" s="874"/>
      <c r="E208" s="874"/>
      <c r="F208" s="874"/>
      <c r="G208" s="893"/>
      <c r="H208" s="874"/>
      <c r="I208" s="874"/>
      <c r="J208" s="874"/>
      <c r="K208" s="894"/>
      <c r="L208" s="874"/>
      <c r="M208" s="874"/>
      <c r="N208" s="874"/>
      <c r="O208" s="874"/>
      <c r="P208" s="874"/>
      <c r="Q208" s="875"/>
      <c r="R208" s="875"/>
      <c r="S208" s="875"/>
      <c r="T208" s="875"/>
      <c r="U208" s="875"/>
      <c r="V208" s="720"/>
      <c r="W208" s="720"/>
      <c r="X208" s="720"/>
      <c r="Y208" s="720"/>
      <c r="Z208" s="720"/>
      <c r="AA208" s="720"/>
      <c r="AB208" s="720"/>
    </row>
    <row r="209" spans="1:28" ht="12.75" customHeight="1">
      <c r="A209" s="873"/>
      <c r="B209" s="874"/>
      <c r="C209" s="874"/>
      <c r="D209" s="874"/>
      <c r="E209" s="874"/>
      <c r="F209" s="874"/>
      <c r="G209" s="893"/>
      <c r="H209" s="874"/>
      <c r="I209" s="874"/>
      <c r="J209" s="874"/>
      <c r="K209" s="894"/>
      <c r="L209" s="874"/>
      <c r="M209" s="874"/>
      <c r="N209" s="874"/>
      <c r="O209" s="874"/>
      <c r="P209" s="874"/>
      <c r="Q209" s="875"/>
      <c r="R209" s="875"/>
      <c r="S209" s="875"/>
      <c r="T209" s="875"/>
      <c r="U209" s="875"/>
      <c r="V209" s="720"/>
      <c r="W209" s="720"/>
      <c r="X209" s="720"/>
      <c r="Y209" s="720"/>
      <c r="Z209" s="720"/>
      <c r="AA209" s="720"/>
      <c r="AB209" s="720"/>
    </row>
    <row r="210" spans="1:28" ht="12.75" customHeight="1">
      <c r="A210" s="873"/>
      <c r="B210" s="874"/>
      <c r="C210" s="874"/>
      <c r="D210" s="874"/>
      <c r="E210" s="874"/>
      <c r="F210" s="874"/>
      <c r="G210" s="893"/>
      <c r="H210" s="874"/>
      <c r="I210" s="874"/>
      <c r="J210" s="874"/>
      <c r="K210" s="894"/>
      <c r="L210" s="874"/>
      <c r="M210" s="874"/>
      <c r="N210" s="874"/>
      <c r="O210" s="874"/>
      <c r="P210" s="874"/>
      <c r="Q210" s="875"/>
      <c r="R210" s="875"/>
      <c r="S210" s="875"/>
      <c r="T210" s="875"/>
      <c r="U210" s="875"/>
      <c r="V210" s="720"/>
      <c r="W210" s="720"/>
      <c r="X210" s="720"/>
      <c r="Y210" s="720"/>
      <c r="Z210" s="720"/>
      <c r="AA210" s="720"/>
      <c r="AB210" s="720"/>
    </row>
    <row r="211" spans="1:28" ht="12.75" customHeight="1">
      <c r="A211" s="873"/>
      <c r="B211" s="874"/>
      <c r="C211" s="874"/>
      <c r="D211" s="874"/>
      <c r="E211" s="874"/>
      <c r="F211" s="874"/>
      <c r="G211" s="893"/>
      <c r="H211" s="874"/>
      <c r="I211" s="874"/>
      <c r="J211" s="874"/>
      <c r="K211" s="894"/>
      <c r="L211" s="874"/>
      <c r="M211" s="874"/>
      <c r="N211" s="874"/>
      <c r="O211" s="874"/>
      <c r="P211" s="874"/>
      <c r="Q211" s="875"/>
      <c r="R211" s="875"/>
      <c r="S211" s="875"/>
      <c r="T211" s="875"/>
      <c r="U211" s="875"/>
      <c r="V211" s="720"/>
      <c r="W211" s="720"/>
      <c r="X211" s="720"/>
      <c r="Y211" s="720"/>
      <c r="Z211" s="720"/>
      <c r="AA211" s="720"/>
      <c r="AB211" s="720"/>
    </row>
    <row r="212" spans="1:28" ht="12.75" customHeight="1">
      <c r="A212" s="873"/>
      <c r="B212" s="874"/>
      <c r="C212" s="874"/>
      <c r="D212" s="874"/>
      <c r="E212" s="874"/>
      <c r="F212" s="874"/>
      <c r="G212" s="893"/>
      <c r="H212" s="874"/>
      <c r="I212" s="874"/>
      <c r="J212" s="874"/>
      <c r="K212" s="894"/>
      <c r="L212" s="874"/>
      <c r="M212" s="874"/>
      <c r="N212" s="874"/>
      <c r="O212" s="874"/>
      <c r="P212" s="874"/>
      <c r="Q212" s="875"/>
      <c r="R212" s="875"/>
      <c r="S212" s="875"/>
      <c r="T212" s="875"/>
      <c r="U212" s="875"/>
      <c r="V212" s="720"/>
      <c r="W212" s="720"/>
      <c r="X212" s="720"/>
      <c r="Y212" s="720"/>
      <c r="Z212" s="720"/>
      <c r="AA212" s="720"/>
      <c r="AB212" s="720"/>
    </row>
    <row r="213" spans="1:28" ht="12.75" customHeight="1">
      <c r="A213" s="873"/>
      <c r="B213" s="874"/>
      <c r="C213" s="874"/>
      <c r="D213" s="874"/>
      <c r="E213" s="874"/>
      <c r="F213" s="874"/>
      <c r="G213" s="893"/>
      <c r="H213" s="874"/>
      <c r="I213" s="874"/>
      <c r="J213" s="874"/>
      <c r="K213" s="894"/>
      <c r="L213" s="874"/>
      <c r="M213" s="874"/>
      <c r="N213" s="874"/>
      <c r="O213" s="874"/>
      <c r="P213" s="874"/>
      <c r="Q213" s="875"/>
      <c r="R213" s="875"/>
      <c r="S213" s="875"/>
      <c r="T213" s="875"/>
      <c r="U213" s="875"/>
      <c r="V213" s="720"/>
      <c r="W213" s="720"/>
      <c r="X213" s="720"/>
      <c r="Y213" s="720"/>
      <c r="Z213" s="720"/>
      <c r="AA213" s="720"/>
      <c r="AB213" s="720"/>
    </row>
    <row r="214" spans="1:28" ht="12.75" customHeight="1">
      <c r="A214" s="873"/>
      <c r="B214" s="874"/>
      <c r="C214" s="874"/>
      <c r="D214" s="874"/>
      <c r="E214" s="874"/>
      <c r="F214" s="874"/>
      <c r="G214" s="893"/>
      <c r="H214" s="874"/>
      <c r="I214" s="874"/>
      <c r="J214" s="874"/>
      <c r="K214" s="894"/>
      <c r="L214" s="874"/>
      <c r="M214" s="874"/>
      <c r="N214" s="874"/>
      <c r="O214" s="874"/>
      <c r="P214" s="874"/>
      <c r="Q214" s="875"/>
      <c r="R214" s="875"/>
      <c r="S214" s="875"/>
      <c r="T214" s="875"/>
      <c r="U214" s="875"/>
      <c r="V214" s="720"/>
      <c r="W214" s="720"/>
      <c r="X214" s="720"/>
      <c r="Y214" s="720"/>
      <c r="Z214" s="720"/>
      <c r="AA214" s="720"/>
      <c r="AB214" s="720"/>
    </row>
    <row r="215" spans="1:28" ht="12.75" customHeight="1">
      <c r="A215" s="873"/>
      <c r="B215" s="874"/>
      <c r="C215" s="874"/>
      <c r="D215" s="874"/>
      <c r="E215" s="874"/>
      <c r="F215" s="874"/>
      <c r="G215" s="893"/>
      <c r="H215" s="874"/>
      <c r="I215" s="874"/>
      <c r="J215" s="874"/>
      <c r="K215" s="894"/>
      <c r="L215" s="874"/>
      <c r="M215" s="874"/>
      <c r="N215" s="874"/>
      <c r="O215" s="874"/>
      <c r="P215" s="874"/>
      <c r="Q215" s="875"/>
      <c r="R215" s="875"/>
      <c r="S215" s="875"/>
      <c r="T215" s="875"/>
      <c r="U215" s="875"/>
      <c r="V215" s="720"/>
      <c r="W215" s="720"/>
      <c r="X215" s="720"/>
      <c r="Y215" s="720"/>
      <c r="Z215" s="720"/>
      <c r="AA215" s="720"/>
      <c r="AB215" s="720"/>
    </row>
    <row r="216" spans="1:28" ht="12.75" customHeight="1">
      <c r="A216" s="873"/>
      <c r="B216" s="874"/>
      <c r="C216" s="874"/>
      <c r="D216" s="874"/>
      <c r="E216" s="874"/>
      <c r="F216" s="874"/>
      <c r="G216" s="893"/>
      <c r="H216" s="874"/>
      <c r="I216" s="874"/>
      <c r="J216" s="874"/>
      <c r="K216" s="894"/>
      <c r="L216" s="874"/>
      <c r="M216" s="874"/>
      <c r="N216" s="874"/>
      <c r="O216" s="874"/>
      <c r="P216" s="874"/>
      <c r="Q216" s="875"/>
      <c r="R216" s="875"/>
      <c r="S216" s="875"/>
      <c r="T216" s="875"/>
      <c r="U216" s="875"/>
      <c r="V216" s="720"/>
      <c r="W216" s="720"/>
      <c r="X216" s="720"/>
      <c r="Y216" s="720"/>
      <c r="Z216" s="720"/>
      <c r="AA216" s="720"/>
      <c r="AB216" s="720"/>
    </row>
    <row r="217" spans="1:28" ht="12.75" customHeight="1">
      <c r="A217" s="873"/>
      <c r="B217" s="874"/>
      <c r="C217" s="874"/>
      <c r="D217" s="874"/>
      <c r="E217" s="874"/>
      <c r="F217" s="874"/>
      <c r="G217" s="893"/>
      <c r="H217" s="874"/>
      <c r="I217" s="874"/>
      <c r="J217" s="874"/>
      <c r="K217" s="894"/>
      <c r="L217" s="874"/>
      <c r="M217" s="874"/>
      <c r="N217" s="874"/>
      <c r="O217" s="874"/>
      <c r="P217" s="874"/>
      <c r="Q217" s="875"/>
      <c r="R217" s="875"/>
      <c r="S217" s="875"/>
      <c r="T217" s="875"/>
      <c r="U217" s="875"/>
      <c r="V217" s="720"/>
      <c r="W217" s="720"/>
      <c r="X217" s="720"/>
      <c r="Y217" s="720"/>
      <c r="Z217" s="720"/>
      <c r="AA217" s="720"/>
      <c r="AB217" s="720"/>
    </row>
    <row r="218" spans="1:28" ht="12.75" customHeight="1">
      <c r="A218" s="873"/>
      <c r="B218" s="874"/>
      <c r="C218" s="874"/>
      <c r="D218" s="874"/>
      <c r="E218" s="874"/>
      <c r="F218" s="874"/>
      <c r="G218" s="893"/>
      <c r="H218" s="874"/>
      <c r="I218" s="874"/>
      <c r="J218" s="874"/>
      <c r="K218" s="894"/>
      <c r="L218" s="874"/>
      <c r="M218" s="874"/>
      <c r="N218" s="874"/>
      <c r="O218" s="874"/>
      <c r="P218" s="874"/>
      <c r="Q218" s="875"/>
      <c r="R218" s="875"/>
      <c r="S218" s="875"/>
      <c r="T218" s="875"/>
      <c r="U218" s="875"/>
      <c r="V218" s="720"/>
      <c r="W218" s="720"/>
      <c r="X218" s="720"/>
      <c r="Y218" s="720"/>
      <c r="Z218" s="720"/>
      <c r="AA218" s="720"/>
      <c r="AB218" s="720"/>
    </row>
    <row r="219" spans="1:28" ht="12.75" customHeight="1">
      <c r="A219" s="873"/>
      <c r="B219" s="874"/>
      <c r="C219" s="874"/>
      <c r="D219" s="874"/>
      <c r="E219" s="874"/>
      <c r="F219" s="874"/>
      <c r="G219" s="893"/>
      <c r="H219" s="874"/>
      <c r="I219" s="874"/>
      <c r="J219" s="874"/>
      <c r="K219" s="894"/>
      <c r="L219" s="874"/>
      <c r="M219" s="874"/>
      <c r="N219" s="874"/>
      <c r="O219" s="874"/>
      <c r="P219" s="874"/>
      <c r="Q219" s="875"/>
      <c r="R219" s="875"/>
      <c r="S219" s="875"/>
      <c r="T219" s="875"/>
      <c r="U219" s="875"/>
      <c r="V219" s="720"/>
      <c r="W219" s="720"/>
      <c r="X219" s="720"/>
      <c r="Y219" s="720"/>
      <c r="Z219" s="720"/>
      <c r="AA219" s="720"/>
      <c r="AB219" s="720"/>
    </row>
    <row r="220" spans="1:28" ht="12.75" customHeight="1">
      <c r="A220" s="873"/>
      <c r="B220" s="874"/>
      <c r="C220" s="874"/>
      <c r="D220" s="874"/>
      <c r="E220" s="874"/>
      <c r="F220" s="874"/>
      <c r="G220" s="893"/>
      <c r="H220" s="874"/>
      <c r="I220" s="874"/>
      <c r="J220" s="874"/>
      <c r="K220" s="894"/>
      <c r="L220" s="874"/>
      <c r="M220" s="874"/>
      <c r="N220" s="874"/>
      <c r="O220" s="874"/>
      <c r="P220" s="874"/>
      <c r="Q220" s="875"/>
      <c r="R220" s="875"/>
      <c r="S220" s="875"/>
      <c r="T220" s="875"/>
      <c r="U220" s="875"/>
      <c r="V220" s="720"/>
      <c r="W220" s="720"/>
      <c r="X220" s="720"/>
      <c r="Y220" s="720"/>
      <c r="Z220" s="720"/>
      <c r="AA220" s="720"/>
      <c r="AB220" s="720"/>
    </row>
    <row r="221" spans="1:28" ht="12.75" customHeight="1">
      <c r="A221" s="873"/>
      <c r="B221" s="874"/>
      <c r="C221" s="874"/>
      <c r="D221" s="874"/>
      <c r="E221" s="874"/>
      <c r="F221" s="874"/>
      <c r="G221" s="893"/>
      <c r="H221" s="874"/>
      <c r="I221" s="874"/>
      <c r="J221" s="874"/>
      <c r="K221" s="894"/>
      <c r="L221" s="874"/>
      <c r="M221" s="874"/>
      <c r="N221" s="874"/>
      <c r="O221" s="874"/>
      <c r="P221" s="874"/>
      <c r="Q221" s="875"/>
      <c r="R221" s="875"/>
      <c r="S221" s="875"/>
      <c r="T221" s="875"/>
      <c r="U221" s="875"/>
      <c r="V221" s="720"/>
      <c r="W221" s="720"/>
      <c r="X221" s="720"/>
      <c r="Y221" s="720"/>
      <c r="Z221" s="720"/>
      <c r="AA221" s="720"/>
      <c r="AB221" s="720"/>
    </row>
    <row r="222" spans="1:28" ht="12.75" customHeight="1">
      <c r="A222" s="902"/>
      <c r="B222" s="903"/>
      <c r="C222" s="903"/>
      <c r="D222" s="903"/>
      <c r="E222" s="903"/>
      <c r="F222" s="903"/>
      <c r="G222" s="904"/>
      <c r="H222" s="903"/>
      <c r="I222" s="903"/>
      <c r="J222" s="903"/>
      <c r="K222" s="905"/>
      <c r="L222" s="903"/>
      <c r="M222" s="903"/>
      <c r="N222" s="903"/>
      <c r="O222" s="903"/>
      <c r="P222" s="903"/>
      <c r="Q222" s="720"/>
      <c r="R222" s="720"/>
      <c r="S222" s="720"/>
      <c r="T222" s="720"/>
      <c r="U222" s="720"/>
      <c r="V222" s="720"/>
      <c r="W222" s="720"/>
      <c r="X222" s="720"/>
      <c r="Y222" s="720"/>
      <c r="Z222" s="720"/>
      <c r="AA222" s="720"/>
      <c r="AB222" s="720"/>
    </row>
    <row r="223" spans="1:28" ht="12.75" customHeight="1">
      <c r="A223" s="902"/>
      <c r="B223" s="903"/>
      <c r="C223" s="903"/>
      <c r="D223" s="903"/>
      <c r="E223" s="903"/>
      <c r="F223" s="903"/>
      <c r="G223" s="904"/>
      <c r="H223" s="903"/>
      <c r="I223" s="903"/>
      <c r="J223" s="903"/>
      <c r="K223" s="905"/>
      <c r="L223" s="903"/>
      <c r="M223" s="903"/>
      <c r="N223" s="903"/>
      <c r="O223" s="903"/>
      <c r="P223" s="903"/>
      <c r="Q223" s="720"/>
      <c r="R223" s="720"/>
      <c r="S223" s="720"/>
      <c r="T223" s="720"/>
      <c r="U223" s="720"/>
      <c r="V223" s="720"/>
      <c r="W223" s="720"/>
      <c r="X223" s="720"/>
      <c r="Y223" s="720"/>
      <c r="Z223" s="720"/>
      <c r="AA223" s="720"/>
      <c r="AB223" s="720"/>
    </row>
    <row r="224" spans="1:28" ht="12.75" customHeight="1">
      <c r="A224" s="902"/>
      <c r="B224" s="903"/>
      <c r="C224" s="903"/>
      <c r="D224" s="903"/>
      <c r="E224" s="903"/>
      <c r="F224" s="903"/>
      <c r="G224" s="904"/>
      <c r="H224" s="903"/>
      <c r="I224" s="903"/>
      <c r="J224" s="903"/>
      <c r="K224" s="905"/>
      <c r="L224" s="903"/>
      <c r="M224" s="903"/>
      <c r="N224" s="903"/>
      <c r="O224" s="903"/>
      <c r="P224" s="903"/>
      <c r="Q224" s="720"/>
      <c r="R224" s="720"/>
      <c r="S224" s="720"/>
      <c r="T224" s="720"/>
      <c r="U224" s="720"/>
      <c r="V224" s="720"/>
      <c r="W224" s="720"/>
      <c r="X224" s="720"/>
      <c r="Y224" s="720"/>
      <c r="Z224" s="720"/>
      <c r="AA224" s="720"/>
      <c r="AB224" s="720"/>
    </row>
    <row r="225" spans="1:28" ht="12.75" customHeight="1">
      <c r="A225" s="902"/>
      <c r="B225" s="903"/>
      <c r="C225" s="903"/>
      <c r="D225" s="903"/>
      <c r="E225" s="903"/>
      <c r="F225" s="903"/>
      <c r="G225" s="904"/>
      <c r="H225" s="903"/>
      <c r="I225" s="903"/>
      <c r="J225" s="903"/>
      <c r="K225" s="905"/>
      <c r="L225" s="903"/>
      <c r="M225" s="903"/>
      <c r="N225" s="903"/>
      <c r="O225" s="903"/>
      <c r="P225" s="903"/>
      <c r="Q225" s="720"/>
      <c r="R225" s="720"/>
      <c r="S225" s="720"/>
      <c r="T225" s="720"/>
      <c r="U225" s="720"/>
      <c r="V225" s="720"/>
      <c r="W225" s="720"/>
      <c r="X225" s="720"/>
      <c r="Y225" s="720"/>
      <c r="Z225" s="720"/>
      <c r="AA225" s="720"/>
      <c r="AB225" s="720"/>
    </row>
    <row r="226" spans="1:28" ht="12.75" customHeight="1">
      <c r="A226" s="902"/>
      <c r="B226" s="903"/>
      <c r="C226" s="903"/>
      <c r="D226" s="903"/>
      <c r="E226" s="903"/>
      <c r="F226" s="903"/>
      <c r="G226" s="904"/>
      <c r="H226" s="903"/>
      <c r="I226" s="903"/>
      <c r="J226" s="903"/>
      <c r="K226" s="905"/>
      <c r="L226" s="903"/>
      <c r="M226" s="903"/>
      <c r="N226" s="903"/>
      <c r="O226" s="903"/>
      <c r="P226" s="903"/>
      <c r="Q226" s="720"/>
      <c r="R226" s="720"/>
      <c r="S226" s="720"/>
      <c r="T226" s="720"/>
      <c r="U226" s="720"/>
      <c r="V226" s="720"/>
      <c r="W226" s="720"/>
      <c r="X226" s="720"/>
      <c r="Y226" s="720"/>
      <c r="Z226" s="720"/>
      <c r="AA226" s="720"/>
      <c r="AB226" s="720"/>
    </row>
    <row r="227" spans="1:28" ht="12.75" customHeight="1">
      <c r="A227" s="902"/>
      <c r="B227" s="903"/>
      <c r="C227" s="903"/>
      <c r="D227" s="903"/>
      <c r="E227" s="903"/>
      <c r="F227" s="903"/>
      <c r="G227" s="904"/>
      <c r="H227" s="903"/>
      <c r="I227" s="903"/>
      <c r="J227" s="903"/>
      <c r="K227" s="905"/>
      <c r="L227" s="903"/>
      <c r="M227" s="903"/>
      <c r="N227" s="903"/>
      <c r="O227" s="903"/>
      <c r="P227" s="903"/>
      <c r="Q227" s="720"/>
      <c r="R227" s="720"/>
      <c r="S227" s="720"/>
      <c r="T227" s="720"/>
      <c r="U227" s="720"/>
      <c r="V227" s="720"/>
      <c r="W227" s="720"/>
      <c r="X227" s="720"/>
      <c r="Y227" s="720"/>
      <c r="Z227" s="720"/>
      <c r="AA227" s="720"/>
      <c r="AB227" s="720"/>
    </row>
    <row r="228" spans="1:28" ht="12.75" customHeight="1">
      <c r="A228" s="902"/>
      <c r="B228" s="903"/>
      <c r="C228" s="903"/>
      <c r="D228" s="903"/>
      <c r="E228" s="903"/>
      <c r="F228" s="903"/>
      <c r="G228" s="904"/>
      <c r="H228" s="903"/>
      <c r="I228" s="903"/>
      <c r="J228" s="903"/>
      <c r="K228" s="905"/>
      <c r="L228" s="903"/>
      <c r="M228" s="903"/>
      <c r="N228" s="903"/>
      <c r="O228" s="903"/>
      <c r="P228" s="903"/>
      <c r="Q228" s="720"/>
      <c r="R228" s="720"/>
      <c r="S228" s="720"/>
      <c r="T228" s="720"/>
      <c r="U228" s="720"/>
      <c r="V228" s="720"/>
      <c r="W228" s="720"/>
      <c r="X228" s="720"/>
      <c r="Y228" s="720"/>
      <c r="Z228" s="720"/>
      <c r="AA228" s="720"/>
      <c r="AB228" s="720"/>
    </row>
    <row r="229" spans="1:28" ht="12.75" customHeight="1">
      <c r="A229" s="902"/>
      <c r="B229" s="903"/>
      <c r="C229" s="903"/>
      <c r="D229" s="903"/>
      <c r="E229" s="903"/>
      <c r="F229" s="903"/>
      <c r="G229" s="904"/>
      <c r="H229" s="903"/>
      <c r="I229" s="903"/>
      <c r="J229" s="903"/>
      <c r="K229" s="905"/>
      <c r="L229" s="903"/>
      <c r="M229" s="903"/>
      <c r="N229" s="903"/>
      <c r="O229" s="903"/>
      <c r="P229" s="903"/>
      <c r="Q229" s="720"/>
      <c r="R229" s="720"/>
      <c r="S229" s="720"/>
      <c r="T229" s="720"/>
      <c r="U229" s="720"/>
      <c r="V229" s="720"/>
      <c r="W229" s="720"/>
      <c r="X229" s="720"/>
      <c r="Y229" s="720"/>
      <c r="Z229" s="720"/>
      <c r="AA229" s="720"/>
      <c r="AB229" s="720"/>
    </row>
    <row r="230" spans="1:28" ht="12.75" hidden="1" customHeight="1">
      <c r="A230" s="902"/>
      <c r="B230" s="903"/>
      <c r="C230" s="903"/>
      <c r="D230" s="903"/>
      <c r="E230" s="903"/>
      <c r="F230" s="903"/>
      <c r="G230" s="904"/>
      <c r="H230" s="903"/>
      <c r="I230" s="903"/>
      <c r="J230" s="903"/>
      <c r="K230" s="905"/>
      <c r="L230" s="903"/>
      <c r="M230" s="903"/>
      <c r="N230" s="903"/>
      <c r="O230" s="903"/>
      <c r="P230" s="903"/>
      <c r="Q230" s="720"/>
      <c r="R230" s="720"/>
      <c r="S230" s="720"/>
      <c r="T230" s="720"/>
      <c r="U230" s="720"/>
      <c r="V230" s="720"/>
      <c r="W230" s="720"/>
      <c r="X230" s="720"/>
      <c r="Y230" s="720"/>
      <c r="Z230" s="720"/>
      <c r="AA230" s="720"/>
      <c r="AB230" s="720"/>
    </row>
    <row r="231" spans="1:28" ht="12.75" customHeight="1">
      <c r="A231" s="902"/>
      <c r="B231" s="903"/>
      <c r="C231" s="903"/>
      <c r="D231" s="903"/>
      <c r="E231" s="903"/>
      <c r="F231" s="903"/>
      <c r="G231" s="904"/>
      <c r="H231" s="903"/>
      <c r="I231" s="903"/>
      <c r="J231" s="903"/>
      <c r="K231" s="905"/>
      <c r="L231" s="903"/>
      <c r="M231" s="903"/>
      <c r="N231" s="903"/>
      <c r="O231" s="903"/>
      <c r="P231" s="903"/>
      <c r="Q231" s="720"/>
      <c r="R231" s="720"/>
      <c r="S231" s="720"/>
      <c r="T231" s="720"/>
      <c r="U231" s="720"/>
      <c r="V231" s="720"/>
      <c r="W231" s="720"/>
      <c r="X231" s="720"/>
      <c r="Y231" s="720"/>
      <c r="Z231" s="720"/>
      <c r="AA231" s="720"/>
      <c r="AB231" s="720"/>
    </row>
    <row r="232" spans="1:28" ht="12.75" customHeight="1">
      <c r="A232" s="902"/>
      <c r="B232" s="903"/>
      <c r="C232" s="903"/>
      <c r="D232" s="903"/>
      <c r="E232" s="903"/>
      <c r="F232" s="903"/>
      <c r="G232" s="904"/>
      <c r="H232" s="903"/>
      <c r="I232" s="903"/>
      <c r="J232" s="903"/>
      <c r="K232" s="905"/>
      <c r="L232" s="903"/>
      <c r="M232" s="903"/>
      <c r="N232" s="903"/>
      <c r="O232" s="903"/>
      <c r="P232" s="903"/>
      <c r="Q232" s="720"/>
      <c r="R232" s="720"/>
      <c r="S232" s="720"/>
      <c r="T232" s="720"/>
      <c r="U232" s="720"/>
      <c r="V232" s="720"/>
      <c r="W232" s="720"/>
      <c r="X232" s="720"/>
      <c r="Y232" s="720"/>
      <c r="Z232" s="720"/>
      <c r="AA232" s="720"/>
      <c r="AB232" s="720"/>
    </row>
    <row r="233" spans="1:28" ht="12.75" customHeight="1">
      <c r="A233" s="902"/>
      <c r="B233" s="903"/>
      <c r="C233" s="903"/>
      <c r="D233" s="903"/>
      <c r="E233" s="903"/>
      <c r="F233" s="903"/>
      <c r="G233" s="904"/>
      <c r="H233" s="903"/>
      <c r="I233" s="903"/>
      <c r="J233" s="903"/>
      <c r="K233" s="905"/>
      <c r="L233" s="903"/>
      <c r="M233" s="903"/>
      <c r="N233" s="903"/>
      <c r="O233" s="903"/>
      <c r="P233" s="903"/>
      <c r="Q233" s="720"/>
      <c r="R233" s="720"/>
      <c r="S233" s="720"/>
      <c r="T233" s="720"/>
      <c r="U233" s="720"/>
      <c r="V233" s="720"/>
      <c r="W233" s="720"/>
      <c r="X233" s="720"/>
      <c r="Y233" s="720"/>
      <c r="Z233" s="720"/>
      <c r="AA233" s="720"/>
      <c r="AB233" s="720"/>
    </row>
    <row r="234" spans="1:28" ht="12.75" customHeight="1">
      <c r="A234" s="902"/>
      <c r="B234" s="903"/>
      <c r="C234" s="903"/>
      <c r="D234" s="903"/>
      <c r="E234" s="903"/>
      <c r="F234" s="903"/>
      <c r="G234" s="904"/>
      <c r="H234" s="903"/>
      <c r="I234" s="903"/>
      <c r="J234" s="903"/>
      <c r="K234" s="905"/>
      <c r="L234" s="903"/>
      <c r="M234" s="903"/>
      <c r="N234" s="903"/>
      <c r="O234" s="903"/>
      <c r="P234" s="903"/>
      <c r="Q234" s="720"/>
      <c r="R234" s="720"/>
      <c r="S234" s="720"/>
      <c r="T234" s="720"/>
      <c r="U234" s="720"/>
      <c r="V234" s="720"/>
      <c r="W234" s="720"/>
      <c r="X234" s="720"/>
      <c r="Y234" s="720"/>
      <c r="Z234" s="720"/>
      <c r="AA234" s="720"/>
      <c r="AB234" s="720"/>
    </row>
    <row r="235" spans="1:28" ht="12.75" customHeight="1">
      <c r="A235" s="902"/>
      <c r="B235" s="903"/>
      <c r="C235" s="903"/>
      <c r="D235" s="903"/>
      <c r="E235" s="903"/>
      <c r="F235" s="903"/>
      <c r="G235" s="904"/>
      <c r="H235" s="903"/>
      <c r="I235" s="903"/>
      <c r="J235" s="903"/>
      <c r="K235" s="905"/>
      <c r="L235" s="903"/>
      <c r="M235" s="903"/>
      <c r="N235" s="903"/>
      <c r="O235" s="903"/>
      <c r="P235" s="903"/>
      <c r="Q235" s="720"/>
      <c r="R235" s="720"/>
      <c r="S235" s="720"/>
      <c r="T235" s="720"/>
      <c r="U235" s="720"/>
      <c r="V235" s="720"/>
      <c r="W235" s="720"/>
      <c r="X235" s="720"/>
      <c r="Y235" s="720"/>
      <c r="Z235" s="720"/>
      <c r="AA235" s="720"/>
      <c r="AB235" s="720"/>
    </row>
    <row r="236" spans="1:28" ht="12.75" customHeight="1">
      <c r="A236" s="902"/>
      <c r="B236" s="903"/>
      <c r="C236" s="903"/>
      <c r="D236" s="903"/>
      <c r="E236" s="903"/>
      <c r="F236" s="903"/>
      <c r="G236" s="904"/>
      <c r="H236" s="903"/>
      <c r="I236" s="903"/>
      <c r="J236" s="903"/>
      <c r="K236" s="905"/>
      <c r="L236" s="903"/>
      <c r="M236" s="903"/>
      <c r="N236" s="903"/>
      <c r="O236" s="903"/>
      <c r="P236" s="903"/>
      <c r="Q236" s="720"/>
      <c r="R236" s="720"/>
      <c r="S236" s="720"/>
      <c r="T236" s="720"/>
      <c r="U236" s="720"/>
      <c r="V236" s="720"/>
      <c r="W236" s="720"/>
      <c r="X236" s="720"/>
      <c r="Y236" s="720"/>
      <c r="Z236" s="720"/>
      <c r="AA236" s="720"/>
      <c r="AB236" s="720"/>
    </row>
    <row r="237" spans="1:28" ht="12.75" customHeight="1">
      <c r="A237" s="902"/>
      <c r="B237" s="903"/>
      <c r="C237" s="903"/>
      <c r="D237" s="903"/>
      <c r="E237" s="903"/>
      <c r="F237" s="903"/>
      <c r="G237" s="904"/>
      <c r="H237" s="903"/>
      <c r="I237" s="903"/>
      <c r="J237" s="903"/>
      <c r="K237" s="905"/>
      <c r="L237" s="903"/>
      <c r="M237" s="903"/>
      <c r="N237" s="903"/>
      <c r="O237" s="903"/>
      <c r="P237" s="903"/>
      <c r="Q237" s="720"/>
      <c r="R237" s="720"/>
      <c r="S237" s="720"/>
      <c r="T237" s="720"/>
      <c r="U237" s="720"/>
      <c r="V237" s="720"/>
      <c r="W237" s="720"/>
      <c r="X237" s="720"/>
      <c r="Y237" s="720"/>
      <c r="Z237" s="720"/>
      <c r="AA237" s="720"/>
      <c r="AB237" s="720"/>
    </row>
    <row r="238" spans="1:28" ht="12.75" customHeight="1">
      <c r="A238" s="902"/>
      <c r="B238" s="903"/>
      <c r="C238" s="903"/>
      <c r="D238" s="903"/>
      <c r="E238" s="903"/>
      <c r="F238" s="903"/>
      <c r="G238" s="904"/>
      <c r="H238" s="903"/>
      <c r="I238" s="903"/>
      <c r="J238" s="903"/>
      <c r="K238" s="905"/>
      <c r="L238" s="903"/>
      <c r="M238" s="903"/>
      <c r="N238" s="903"/>
      <c r="O238" s="903"/>
      <c r="P238" s="903"/>
      <c r="Q238" s="720"/>
      <c r="R238" s="720"/>
      <c r="S238" s="720"/>
      <c r="T238" s="720"/>
      <c r="U238" s="720"/>
      <c r="V238" s="720"/>
      <c r="W238" s="720"/>
      <c r="X238" s="720"/>
      <c r="Y238" s="720"/>
      <c r="Z238" s="720"/>
      <c r="AA238" s="720"/>
      <c r="AB238" s="720"/>
    </row>
    <row r="239" spans="1:28" ht="12.75" customHeight="1">
      <c r="A239" s="902"/>
      <c r="B239" s="903"/>
      <c r="C239" s="903"/>
      <c r="D239" s="903"/>
      <c r="E239" s="903"/>
      <c r="F239" s="903"/>
      <c r="G239" s="904"/>
      <c r="H239" s="903"/>
      <c r="I239" s="903"/>
      <c r="J239" s="903"/>
      <c r="K239" s="905"/>
      <c r="L239" s="903"/>
      <c r="M239" s="903"/>
      <c r="N239" s="903"/>
      <c r="O239" s="903"/>
      <c r="P239" s="903"/>
      <c r="Q239" s="720"/>
      <c r="R239" s="720"/>
      <c r="S239" s="720"/>
      <c r="T239" s="720"/>
      <c r="U239" s="720"/>
      <c r="V239" s="720"/>
      <c r="W239" s="720"/>
      <c r="X239" s="720"/>
      <c r="Y239" s="720"/>
      <c r="Z239" s="720"/>
      <c r="AA239" s="720"/>
      <c r="AB239" s="720"/>
    </row>
    <row r="240" spans="1:28" ht="12.75" customHeight="1">
      <c r="A240" s="902"/>
      <c r="B240" s="903"/>
      <c r="C240" s="903"/>
      <c r="D240" s="903"/>
      <c r="E240" s="903"/>
      <c r="F240" s="903"/>
      <c r="G240" s="904"/>
      <c r="H240" s="903"/>
      <c r="I240" s="903"/>
      <c r="J240" s="903"/>
      <c r="K240" s="905"/>
      <c r="L240" s="903"/>
      <c r="M240" s="903"/>
      <c r="N240" s="903"/>
      <c r="O240" s="903"/>
      <c r="P240" s="903"/>
      <c r="Q240" s="720"/>
      <c r="R240" s="720"/>
      <c r="S240" s="720"/>
      <c r="T240" s="720"/>
      <c r="U240" s="720"/>
      <c r="V240" s="720"/>
      <c r="W240" s="720"/>
      <c r="X240" s="720"/>
      <c r="Y240" s="720"/>
      <c r="Z240" s="720"/>
      <c r="AA240" s="720"/>
      <c r="AB240" s="720"/>
    </row>
    <row r="241" spans="1:28" ht="12.75" customHeight="1">
      <c r="A241" s="902"/>
      <c r="B241" s="903"/>
      <c r="C241" s="903"/>
      <c r="D241" s="903"/>
      <c r="E241" s="903"/>
      <c r="F241" s="903"/>
      <c r="G241" s="904"/>
      <c r="H241" s="903"/>
      <c r="I241" s="903"/>
      <c r="J241" s="903"/>
      <c r="K241" s="905"/>
      <c r="L241" s="903"/>
      <c r="M241" s="903"/>
      <c r="N241" s="903"/>
      <c r="O241" s="903"/>
      <c r="P241" s="903"/>
      <c r="Q241" s="720"/>
      <c r="R241" s="720"/>
      <c r="S241" s="720"/>
      <c r="T241" s="720"/>
      <c r="U241" s="720"/>
      <c r="V241" s="720"/>
      <c r="W241" s="720"/>
      <c r="X241" s="720"/>
      <c r="Y241" s="720"/>
      <c r="Z241" s="720"/>
      <c r="AA241" s="720"/>
      <c r="AB241" s="720"/>
    </row>
    <row r="242" spans="1:28" ht="12.75" customHeight="1">
      <c r="A242" s="902"/>
      <c r="B242" s="903"/>
      <c r="C242" s="903"/>
      <c r="D242" s="903"/>
      <c r="E242" s="903"/>
      <c r="F242" s="903"/>
      <c r="G242" s="904"/>
      <c r="H242" s="903"/>
      <c r="I242" s="903"/>
      <c r="J242" s="903"/>
      <c r="K242" s="905"/>
      <c r="L242" s="903"/>
      <c r="M242" s="903"/>
      <c r="N242" s="903"/>
      <c r="O242" s="903"/>
      <c r="P242" s="903"/>
      <c r="Q242" s="720"/>
      <c r="R242" s="720"/>
      <c r="S242" s="720"/>
      <c r="T242" s="720"/>
      <c r="U242" s="720"/>
      <c r="V242" s="720"/>
      <c r="W242" s="720"/>
      <c r="X242" s="720"/>
      <c r="Y242" s="720"/>
      <c r="Z242" s="720"/>
      <c r="AA242" s="720"/>
      <c r="AB242" s="720"/>
    </row>
    <row r="243" spans="1:28" ht="12.75" customHeight="1">
      <c r="A243" s="902"/>
      <c r="B243" s="903"/>
      <c r="C243" s="903"/>
      <c r="D243" s="903"/>
      <c r="E243" s="903"/>
      <c r="F243" s="903"/>
      <c r="G243" s="904"/>
      <c r="H243" s="903"/>
      <c r="I243" s="903"/>
      <c r="J243" s="903"/>
      <c r="K243" s="905"/>
      <c r="L243" s="903"/>
      <c r="M243" s="903"/>
      <c r="N243" s="903"/>
      <c r="O243" s="903"/>
      <c r="P243" s="903"/>
      <c r="Q243" s="720"/>
      <c r="R243" s="720"/>
      <c r="S243" s="720"/>
      <c r="T243" s="720"/>
      <c r="U243" s="720"/>
      <c r="V243" s="720"/>
      <c r="W243" s="720"/>
      <c r="X243" s="720"/>
      <c r="Y243" s="720"/>
      <c r="Z243" s="720"/>
      <c r="AA243" s="720"/>
      <c r="AB243" s="720"/>
    </row>
    <row r="244" spans="1:28" ht="12.75" customHeight="1">
      <c r="A244" s="902"/>
      <c r="B244" s="903"/>
      <c r="C244" s="903"/>
      <c r="D244" s="903"/>
      <c r="E244" s="903"/>
      <c r="F244" s="903"/>
      <c r="G244" s="904"/>
      <c r="H244" s="903"/>
      <c r="I244" s="903"/>
      <c r="J244" s="903"/>
      <c r="K244" s="905"/>
      <c r="L244" s="903"/>
      <c r="M244" s="903"/>
      <c r="N244" s="903"/>
      <c r="O244" s="903"/>
      <c r="P244" s="903"/>
      <c r="Q244" s="720"/>
      <c r="R244" s="720"/>
      <c r="S244" s="720"/>
      <c r="T244" s="720"/>
      <c r="U244" s="720"/>
      <c r="V244" s="720"/>
      <c r="W244" s="720"/>
      <c r="X244" s="720"/>
      <c r="Y244" s="720"/>
      <c r="Z244" s="720"/>
      <c r="AA244" s="720"/>
      <c r="AB244" s="720"/>
    </row>
    <row r="245" spans="1:28" ht="12.75" customHeight="1">
      <c r="A245" s="902"/>
      <c r="B245" s="903"/>
      <c r="C245" s="903"/>
      <c r="D245" s="903"/>
      <c r="E245" s="903"/>
      <c r="F245" s="903"/>
      <c r="G245" s="904"/>
      <c r="H245" s="903"/>
      <c r="I245" s="903"/>
      <c r="J245" s="903"/>
      <c r="K245" s="905"/>
      <c r="L245" s="903"/>
      <c r="M245" s="903"/>
      <c r="N245" s="903"/>
      <c r="O245" s="903"/>
      <c r="P245" s="903"/>
      <c r="Q245" s="720"/>
      <c r="R245" s="720"/>
      <c r="S245" s="720"/>
      <c r="T245" s="720"/>
      <c r="U245" s="720"/>
      <c r="V245" s="720"/>
      <c r="W245" s="720"/>
      <c r="X245" s="720"/>
      <c r="Y245" s="720"/>
      <c r="Z245" s="720"/>
      <c r="AA245" s="720"/>
      <c r="AB245" s="720"/>
    </row>
    <row r="246" spans="1:28" ht="12.75" customHeight="1">
      <c r="A246" s="902"/>
      <c r="B246" s="903"/>
      <c r="C246" s="903"/>
      <c r="D246" s="903"/>
      <c r="E246" s="903"/>
      <c r="F246" s="903"/>
      <c r="G246" s="904"/>
      <c r="H246" s="903"/>
      <c r="I246" s="903"/>
      <c r="J246" s="903"/>
      <c r="K246" s="905"/>
      <c r="L246" s="903"/>
      <c r="M246" s="903"/>
      <c r="N246" s="903"/>
      <c r="O246" s="903"/>
      <c r="P246" s="903"/>
      <c r="Q246" s="720"/>
      <c r="R246" s="720"/>
      <c r="S246" s="720"/>
      <c r="T246" s="720"/>
      <c r="U246" s="720"/>
      <c r="V246" s="720"/>
      <c r="W246" s="720"/>
      <c r="X246" s="720"/>
      <c r="Y246" s="720"/>
      <c r="Z246" s="720"/>
      <c r="AA246" s="720"/>
      <c r="AB246" s="720"/>
    </row>
    <row r="247" spans="1:28" ht="12.75" customHeight="1">
      <c r="A247" s="902"/>
      <c r="B247" s="903"/>
      <c r="C247" s="903"/>
      <c r="D247" s="903"/>
      <c r="E247" s="903"/>
      <c r="F247" s="903"/>
      <c r="G247" s="904"/>
      <c r="H247" s="903"/>
      <c r="I247" s="903"/>
      <c r="J247" s="903"/>
      <c r="K247" s="905"/>
      <c r="L247" s="903"/>
      <c r="M247" s="903"/>
      <c r="N247" s="903"/>
      <c r="O247" s="903"/>
      <c r="P247" s="903"/>
      <c r="Q247" s="720"/>
      <c r="R247" s="720"/>
      <c r="S247" s="720"/>
      <c r="T247" s="720"/>
      <c r="U247" s="720"/>
      <c r="V247" s="720"/>
      <c r="W247" s="720"/>
      <c r="X247" s="720"/>
      <c r="Y247" s="720"/>
      <c r="Z247" s="720"/>
      <c r="AA247" s="720"/>
      <c r="AB247" s="720"/>
    </row>
    <row r="248" spans="1:28" ht="12.75" customHeight="1">
      <c r="A248" s="902"/>
      <c r="B248" s="903"/>
      <c r="C248" s="903"/>
      <c r="D248" s="903"/>
      <c r="E248" s="903"/>
      <c r="F248" s="903"/>
      <c r="G248" s="904"/>
      <c r="H248" s="903"/>
      <c r="I248" s="903"/>
      <c r="J248" s="903"/>
      <c r="K248" s="905"/>
      <c r="L248" s="903"/>
      <c r="M248" s="903"/>
      <c r="N248" s="903"/>
      <c r="O248" s="903"/>
      <c r="P248" s="903"/>
      <c r="Q248" s="720"/>
      <c r="R248" s="720"/>
      <c r="S248" s="720"/>
      <c r="T248" s="720"/>
      <c r="U248" s="720"/>
      <c r="V248" s="720"/>
      <c r="W248" s="720"/>
      <c r="X248" s="720"/>
      <c r="Y248" s="720"/>
      <c r="Z248" s="720"/>
      <c r="AA248" s="720"/>
      <c r="AB248" s="720"/>
    </row>
    <row r="249" spans="1:28" ht="12.75" customHeight="1">
      <c r="A249" s="902"/>
      <c r="B249" s="903"/>
      <c r="C249" s="903"/>
      <c r="D249" s="903"/>
      <c r="E249" s="903"/>
      <c r="F249" s="903"/>
      <c r="G249" s="904"/>
      <c r="H249" s="903"/>
      <c r="I249" s="903"/>
      <c r="J249" s="903"/>
      <c r="K249" s="905"/>
      <c r="L249" s="903"/>
      <c r="M249" s="903"/>
      <c r="N249" s="903"/>
      <c r="O249" s="903"/>
      <c r="P249" s="903"/>
      <c r="Q249" s="720"/>
      <c r="R249" s="720"/>
      <c r="S249" s="720"/>
      <c r="T249" s="720"/>
      <c r="U249" s="720"/>
      <c r="V249" s="720"/>
      <c r="W249" s="720"/>
      <c r="X249" s="720"/>
      <c r="Y249" s="720"/>
      <c r="Z249" s="720"/>
      <c r="AA249" s="720"/>
      <c r="AB249" s="720"/>
    </row>
    <row r="250" spans="1:28" ht="12.75" customHeight="1">
      <c r="A250" s="902"/>
      <c r="B250" s="903"/>
      <c r="C250" s="903"/>
      <c r="D250" s="903"/>
      <c r="E250" s="903"/>
      <c r="F250" s="903"/>
      <c r="G250" s="904"/>
      <c r="H250" s="903"/>
      <c r="I250" s="903"/>
      <c r="J250" s="903"/>
      <c r="K250" s="905"/>
      <c r="L250" s="903"/>
      <c r="M250" s="903"/>
      <c r="N250" s="903"/>
      <c r="O250" s="903"/>
      <c r="P250" s="903"/>
      <c r="Q250" s="720"/>
      <c r="R250" s="720"/>
      <c r="S250" s="720"/>
      <c r="T250" s="720"/>
      <c r="U250" s="720"/>
      <c r="V250" s="720"/>
      <c r="W250" s="720"/>
      <c r="X250" s="720"/>
      <c r="Y250" s="720"/>
      <c r="Z250" s="720"/>
      <c r="AA250" s="720"/>
      <c r="AB250" s="720"/>
    </row>
    <row r="251" spans="1:28" ht="12.75" customHeight="1">
      <c r="A251" s="902"/>
      <c r="B251" s="903"/>
      <c r="C251" s="903"/>
      <c r="D251" s="903"/>
      <c r="E251" s="903"/>
      <c r="F251" s="903"/>
      <c r="G251" s="904"/>
      <c r="H251" s="903"/>
      <c r="I251" s="903"/>
      <c r="J251" s="903"/>
      <c r="K251" s="905"/>
      <c r="L251" s="903"/>
      <c r="M251" s="903"/>
      <c r="N251" s="903"/>
      <c r="O251" s="903"/>
      <c r="P251" s="903"/>
      <c r="Q251" s="720"/>
      <c r="R251" s="720"/>
      <c r="S251" s="720"/>
      <c r="T251" s="720"/>
      <c r="U251" s="720"/>
      <c r="V251" s="720"/>
      <c r="W251" s="720"/>
      <c r="X251" s="720"/>
      <c r="Y251" s="720"/>
      <c r="Z251" s="720"/>
      <c r="AA251" s="720"/>
      <c r="AB251" s="720"/>
    </row>
    <row r="252" spans="1:28" ht="12.75" customHeight="1">
      <c r="A252" s="902"/>
      <c r="B252" s="903"/>
      <c r="C252" s="903"/>
      <c r="D252" s="903"/>
      <c r="E252" s="903"/>
      <c r="F252" s="903"/>
      <c r="G252" s="904"/>
      <c r="H252" s="903"/>
      <c r="I252" s="903"/>
      <c r="J252" s="903"/>
      <c r="K252" s="905"/>
      <c r="L252" s="903"/>
      <c r="M252" s="903"/>
      <c r="N252" s="903"/>
      <c r="O252" s="903"/>
      <c r="P252" s="903"/>
      <c r="Q252" s="720"/>
      <c r="R252" s="720"/>
      <c r="S252" s="720"/>
      <c r="T252" s="720"/>
      <c r="U252" s="720"/>
      <c r="V252" s="720"/>
      <c r="W252" s="720"/>
      <c r="X252" s="720"/>
      <c r="Y252" s="720"/>
      <c r="Z252" s="720"/>
      <c r="AA252" s="720"/>
      <c r="AB252" s="720"/>
    </row>
    <row r="253" spans="1:28" ht="12.75" customHeight="1">
      <c r="A253" s="902"/>
      <c r="B253" s="903"/>
      <c r="C253" s="903"/>
      <c r="D253" s="903"/>
      <c r="E253" s="903"/>
      <c r="F253" s="903"/>
      <c r="G253" s="904"/>
      <c r="H253" s="903"/>
      <c r="I253" s="903"/>
      <c r="J253" s="903"/>
      <c r="K253" s="905"/>
      <c r="L253" s="903"/>
      <c r="M253" s="903"/>
      <c r="N253" s="903"/>
      <c r="O253" s="903"/>
      <c r="P253" s="903"/>
      <c r="Q253" s="720"/>
      <c r="R253" s="720"/>
      <c r="S253" s="720"/>
      <c r="T253" s="720"/>
      <c r="U253" s="720"/>
      <c r="V253" s="720"/>
      <c r="W253" s="720"/>
      <c r="X253" s="720"/>
      <c r="Y253" s="720"/>
      <c r="Z253" s="720"/>
      <c r="AA253" s="720"/>
      <c r="AB253" s="720"/>
    </row>
    <row r="254" spans="1:28" ht="12.75" customHeight="1">
      <c r="A254" s="902"/>
      <c r="B254" s="903"/>
      <c r="C254" s="903"/>
      <c r="D254" s="903"/>
      <c r="E254" s="903"/>
      <c r="F254" s="903"/>
      <c r="G254" s="904"/>
      <c r="H254" s="903"/>
      <c r="I254" s="903"/>
      <c r="J254" s="903"/>
      <c r="K254" s="905"/>
      <c r="L254" s="903"/>
      <c r="M254" s="903"/>
      <c r="N254" s="903"/>
      <c r="O254" s="903"/>
      <c r="P254" s="903"/>
      <c r="Q254" s="720"/>
      <c r="R254" s="720"/>
      <c r="S254" s="720"/>
      <c r="T254" s="720"/>
      <c r="U254" s="720"/>
      <c r="V254" s="720"/>
      <c r="W254" s="720"/>
      <c r="X254" s="720"/>
      <c r="Y254" s="720"/>
      <c r="Z254" s="720"/>
      <c r="AA254" s="720"/>
      <c r="AB254" s="720"/>
    </row>
    <row r="255" spans="1:28" ht="12.75" customHeight="1">
      <c r="A255" s="902"/>
      <c r="B255" s="903"/>
      <c r="C255" s="903"/>
      <c r="D255" s="903"/>
      <c r="E255" s="903"/>
      <c r="F255" s="903"/>
      <c r="G255" s="904"/>
      <c r="H255" s="903"/>
      <c r="I255" s="903"/>
      <c r="J255" s="903"/>
      <c r="K255" s="905"/>
      <c r="L255" s="903"/>
      <c r="M255" s="903"/>
      <c r="N255" s="903"/>
      <c r="O255" s="903"/>
      <c r="P255" s="903"/>
      <c r="Q255" s="720"/>
      <c r="R255" s="720"/>
      <c r="S255" s="720"/>
      <c r="T255" s="720"/>
      <c r="U255" s="720"/>
      <c r="V255" s="720"/>
      <c r="W255" s="720"/>
      <c r="X255" s="720"/>
      <c r="Y255" s="720"/>
      <c r="Z255" s="720"/>
      <c r="AA255" s="720"/>
      <c r="AB255" s="720"/>
    </row>
    <row r="256" spans="1:28" ht="12.75" customHeight="1">
      <c r="A256" s="902"/>
      <c r="B256" s="903"/>
      <c r="C256" s="903"/>
      <c r="D256" s="903"/>
      <c r="E256" s="903"/>
      <c r="F256" s="903"/>
      <c r="G256" s="904"/>
      <c r="H256" s="903"/>
      <c r="I256" s="903"/>
      <c r="J256" s="903"/>
      <c r="K256" s="905"/>
      <c r="L256" s="903"/>
      <c r="M256" s="903"/>
      <c r="N256" s="903"/>
      <c r="O256" s="903"/>
      <c r="P256" s="903"/>
      <c r="Q256" s="720"/>
      <c r="R256" s="720"/>
      <c r="S256" s="720"/>
      <c r="T256" s="720"/>
      <c r="U256" s="720"/>
      <c r="V256" s="720"/>
      <c r="W256" s="720"/>
      <c r="X256" s="720"/>
      <c r="Y256" s="720"/>
      <c r="Z256" s="720"/>
      <c r="AA256" s="720"/>
      <c r="AB256" s="720"/>
    </row>
    <row r="257" spans="1:28" ht="12.75" customHeight="1">
      <c r="A257" s="902"/>
      <c r="B257" s="903"/>
      <c r="C257" s="903"/>
      <c r="D257" s="903"/>
      <c r="E257" s="903"/>
      <c r="F257" s="903"/>
      <c r="G257" s="904"/>
      <c r="H257" s="903"/>
      <c r="I257" s="903"/>
      <c r="J257" s="903"/>
      <c r="K257" s="905"/>
      <c r="L257" s="903"/>
      <c r="M257" s="903"/>
      <c r="N257" s="903"/>
      <c r="O257" s="903"/>
      <c r="P257" s="903"/>
      <c r="Q257" s="720"/>
      <c r="R257" s="720"/>
      <c r="S257" s="720"/>
      <c r="T257" s="720"/>
      <c r="U257" s="720"/>
      <c r="V257" s="720"/>
      <c r="W257" s="720"/>
      <c r="X257" s="720"/>
      <c r="Y257" s="720"/>
      <c r="Z257" s="720"/>
      <c r="AA257" s="720"/>
      <c r="AB257" s="720"/>
    </row>
    <row r="258" spans="1:28" ht="12.75" customHeight="1">
      <c r="A258" s="902"/>
      <c r="B258" s="903"/>
      <c r="C258" s="903"/>
      <c r="D258" s="903"/>
      <c r="E258" s="903"/>
      <c r="F258" s="903"/>
      <c r="G258" s="904"/>
      <c r="H258" s="903"/>
      <c r="I258" s="903"/>
      <c r="J258" s="903"/>
      <c r="K258" s="905"/>
      <c r="L258" s="903"/>
      <c r="M258" s="903"/>
      <c r="N258" s="903"/>
      <c r="O258" s="903"/>
      <c r="P258" s="903"/>
      <c r="Q258" s="720"/>
      <c r="R258" s="720"/>
      <c r="S258" s="720"/>
      <c r="T258" s="720"/>
      <c r="U258" s="720"/>
      <c r="V258" s="720"/>
      <c r="W258" s="720"/>
      <c r="X258" s="720"/>
      <c r="Y258" s="720"/>
      <c r="Z258" s="720"/>
      <c r="AA258" s="720"/>
      <c r="AB258" s="720"/>
    </row>
    <row r="259" spans="1:28" ht="12.75" customHeight="1">
      <c r="A259" s="902"/>
      <c r="B259" s="903"/>
      <c r="C259" s="903"/>
      <c r="D259" s="903"/>
      <c r="E259" s="903"/>
      <c r="F259" s="903"/>
      <c r="G259" s="904"/>
      <c r="H259" s="903"/>
      <c r="I259" s="903"/>
      <c r="J259" s="903"/>
      <c r="K259" s="905"/>
      <c r="L259" s="903"/>
      <c r="M259" s="903"/>
      <c r="N259" s="903"/>
      <c r="O259" s="903"/>
      <c r="P259" s="903"/>
      <c r="Q259" s="720"/>
      <c r="R259" s="720"/>
      <c r="S259" s="720"/>
      <c r="T259" s="720"/>
      <c r="U259" s="720"/>
      <c r="V259" s="720"/>
      <c r="W259" s="720"/>
      <c r="X259" s="720"/>
      <c r="Y259" s="720"/>
      <c r="Z259" s="720"/>
      <c r="AA259" s="720"/>
      <c r="AB259" s="720"/>
    </row>
    <row r="260" spans="1:28" ht="12.75" customHeight="1">
      <c r="A260" s="902"/>
      <c r="B260" s="903"/>
      <c r="C260" s="903"/>
      <c r="D260" s="903"/>
      <c r="E260" s="903"/>
      <c r="F260" s="903"/>
      <c r="G260" s="904"/>
      <c r="H260" s="903"/>
      <c r="I260" s="903"/>
      <c r="J260" s="903"/>
      <c r="K260" s="905"/>
      <c r="L260" s="903"/>
      <c r="M260" s="903"/>
      <c r="N260" s="903"/>
      <c r="O260" s="903"/>
      <c r="P260" s="903"/>
      <c r="Q260" s="720"/>
      <c r="R260" s="720"/>
      <c r="S260" s="720"/>
      <c r="T260" s="720"/>
      <c r="U260" s="720"/>
      <c r="V260" s="720"/>
      <c r="W260" s="720"/>
      <c r="X260" s="720"/>
      <c r="Y260" s="720"/>
      <c r="Z260" s="720"/>
      <c r="AA260" s="720"/>
      <c r="AB260" s="720"/>
    </row>
    <row r="261" spans="1:28" ht="12.75" customHeight="1">
      <c r="A261" s="902"/>
      <c r="B261" s="903"/>
      <c r="C261" s="903"/>
      <c r="D261" s="903"/>
      <c r="E261" s="903"/>
      <c r="F261" s="903"/>
      <c r="G261" s="904"/>
      <c r="H261" s="903"/>
      <c r="I261" s="903"/>
      <c r="J261" s="903"/>
      <c r="K261" s="905"/>
      <c r="L261" s="903"/>
      <c r="M261" s="903"/>
      <c r="N261" s="903"/>
      <c r="O261" s="903"/>
      <c r="P261" s="903"/>
      <c r="Q261" s="720"/>
      <c r="R261" s="720"/>
      <c r="S261" s="720"/>
      <c r="T261" s="720"/>
      <c r="U261" s="720"/>
      <c r="V261" s="720"/>
      <c r="W261" s="720"/>
      <c r="X261" s="720"/>
      <c r="Y261" s="720"/>
      <c r="Z261" s="720"/>
      <c r="AA261" s="720"/>
      <c r="AB261" s="720"/>
    </row>
    <row r="262" spans="1:28" ht="12.75" customHeight="1">
      <c r="A262" s="902"/>
      <c r="B262" s="903"/>
      <c r="C262" s="903"/>
      <c r="D262" s="903"/>
      <c r="E262" s="903"/>
      <c r="F262" s="903"/>
      <c r="G262" s="904"/>
      <c r="H262" s="903"/>
      <c r="I262" s="903"/>
      <c r="J262" s="903"/>
      <c r="K262" s="905"/>
      <c r="L262" s="903"/>
      <c r="M262" s="903"/>
      <c r="N262" s="903"/>
      <c r="O262" s="903"/>
      <c r="P262" s="903"/>
      <c r="Q262" s="720"/>
      <c r="R262" s="720"/>
      <c r="S262" s="720"/>
      <c r="T262" s="720"/>
      <c r="U262" s="720"/>
      <c r="V262" s="720"/>
      <c r="W262" s="720"/>
      <c r="X262" s="720"/>
      <c r="Y262" s="720"/>
      <c r="Z262" s="720"/>
      <c r="AA262" s="720"/>
      <c r="AB262" s="720"/>
    </row>
    <row r="263" spans="1:28" ht="12.75" customHeight="1">
      <c r="A263" s="902"/>
      <c r="B263" s="903"/>
      <c r="C263" s="903"/>
      <c r="D263" s="903"/>
      <c r="E263" s="903"/>
      <c r="F263" s="903"/>
      <c r="G263" s="904"/>
      <c r="H263" s="903"/>
      <c r="I263" s="903"/>
      <c r="J263" s="903"/>
      <c r="K263" s="905"/>
      <c r="L263" s="903"/>
      <c r="M263" s="903"/>
      <c r="N263" s="903"/>
      <c r="O263" s="903"/>
      <c r="P263" s="903"/>
      <c r="Q263" s="720"/>
      <c r="R263" s="720"/>
      <c r="S263" s="720"/>
      <c r="T263" s="720"/>
      <c r="U263" s="720"/>
      <c r="V263" s="720"/>
      <c r="W263" s="720"/>
      <c r="X263" s="720"/>
      <c r="Y263" s="720"/>
      <c r="Z263" s="720"/>
      <c r="AA263" s="720"/>
      <c r="AB263" s="720"/>
    </row>
    <row r="264" spans="1:28" ht="12.75" customHeight="1">
      <c r="A264" s="902"/>
      <c r="B264" s="903"/>
      <c r="C264" s="903"/>
      <c r="D264" s="903"/>
      <c r="E264" s="903"/>
      <c r="F264" s="903"/>
      <c r="G264" s="904"/>
      <c r="H264" s="903"/>
      <c r="I264" s="903"/>
      <c r="J264" s="903"/>
      <c r="K264" s="905"/>
      <c r="L264" s="903"/>
      <c r="M264" s="903"/>
      <c r="N264" s="903"/>
      <c r="O264" s="903"/>
      <c r="P264" s="903"/>
      <c r="Q264" s="720"/>
      <c r="R264" s="720"/>
      <c r="S264" s="720"/>
      <c r="T264" s="720"/>
      <c r="U264" s="720"/>
      <c r="V264" s="720"/>
      <c r="W264" s="720"/>
      <c r="X264" s="720"/>
      <c r="Y264" s="720"/>
      <c r="Z264" s="720"/>
      <c r="AA264" s="720"/>
      <c r="AB264" s="720"/>
    </row>
    <row r="265" spans="1:28" ht="12.75" customHeight="1">
      <c r="A265" s="902"/>
      <c r="B265" s="903"/>
      <c r="C265" s="903"/>
      <c r="D265" s="903"/>
      <c r="E265" s="903"/>
      <c r="F265" s="903"/>
      <c r="G265" s="904"/>
      <c r="H265" s="903"/>
      <c r="I265" s="903"/>
      <c r="J265" s="903"/>
      <c r="K265" s="905"/>
      <c r="L265" s="903"/>
      <c r="M265" s="903"/>
      <c r="N265" s="903"/>
      <c r="O265" s="903"/>
      <c r="P265" s="903"/>
      <c r="Q265" s="720"/>
      <c r="R265" s="720"/>
      <c r="S265" s="720"/>
      <c r="T265" s="720"/>
      <c r="U265" s="720"/>
      <c r="V265" s="720"/>
      <c r="W265" s="720"/>
      <c r="X265" s="720"/>
      <c r="Y265" s="720"/>
      <c r="Z265" s="720"/>
      <c r="AA265" s="720"/>
      <c r="AB265" s="720"/>
    </row>
    <row r="266" spans="1:28" ht="12.75" customHeight="1">
      <c r="A266" s="902"/>
      <c r="B266" s="903"/>
      <c r="C266" s="903"/>
      <c r="D266" s="903"/>
      <c r="E266" s="903"/>
      <c r="F266" s="903"/>
      <c r="G266" s="904"/>
      <c r="H266" s="903"/>
      <c r="I266" s="903"/>
      <c r="J266" s="903"/>
      <c r="K266" s="905"/>
      <c r="L266" s="903"/>
      <c r="M266" s="903"/>
      <c r="N266" s="903"/>
      <c r="O266" s="903"/>
      <c r="P266" s="903"/>
      <c r="Q266" s="720"/>
      <c r="R266" s="720"/>
      <c r="S266" s="720"/>
      <c r="T266" s="720"/>
      <c r="U266" s="720"/>
      <c r="V266" s="720"/>
      <c r="W266" s="720"/>
      <c r="X266" s="720"/>
      <c r="Y266" s="720"/>
      <c r="Z266" s="720"/>
      <c r="AA266" s="720"/>
      <c r="AB266" s="720"/>
    </row>
    <row r="267" spans="1:28" ht="12.75" customHeight="1">
      <c r="A267" s="902"/>
      <c r="B267" s="903"/>
      <c r="C267" s="903"/>
      <c r="D267" s="903"/>
      <c r="E267" s="903"/>
      <c r="F267" s="903"/>
      <c r="G267" s="904"/>
      <c r="H267" s="903"/>
      <c r="I267" s="903"/>
      <c r="J267" s="903"/>
      <c r="K267" s="905"/>
      <c r="L267" s="903"/>
      <c r="M267" s="903"/>
      <c r="N267" s="903"/>
      <c r="O267" s="903"/>
      <c r="P267" s="903"/>
      <c r="Q267" s="720"/>
      <c r="R267" s="720"/>
      <c r="S267" s="720"/>
      <c r="T267" s="720"/>
      <c r="U267" s="720"/>
      <c r="V267" s="720"/>
      <c r="W267" s="720"/>
      <c r="X267" s="720"/>
      <c r="Y267" s="720"/>
      <c r="Z267" s="720"/>
      <c r="AA267" s="720"/>
      <c r="AB267" s="720"/>
    </row>
    <row r="268" spans="1:28" ht="12.75" customHeight="1">
      <c r="A268" s="902"/>
      <c r="B268" s="903"/>
      <c r="C268" s="903"/>
      <c r="D268" s="903"/>
      <c r="E268" s="903"/>
      <c r="F268" s="903"/>
      <c r="G268" s="904"/>
      <c r="H268" s="903"/>
      <c r="I268" s="903"/>
      <c r="J268" s="903"/>
      <c r="K268" s="905"/>
      <c r="L268" s="903"/>
      <c r="M268" s="903"/>
      <c r="N268" s="903"/>
      <c r="O268" s="903"/>
      <c r="P268" s="903"/>
      <c r="Q268" s="720"/>
      <c r="R268" s="720"/>
      <c r="S268" s="720"/>
      <c r="T268" s="720"/>
      <c r="U268" s="720"/>
      <c r="V268" s="720"/>
      <c r="W268" s="720"/>
      <c r="X268" s="720"/>
      <c r="Y268" s="720"/>
      <c r="Z268" s="720"/>
      <c r="AA268" s="720"/>
      <c r="AB268" s="720"/>
    </row>
    <row r="269" spans="1:28" ht="12.75" customHeight="1">
      <c r="A269" s="902"/>
      <c r="B269" s="903"/>
      <c r="C269" s="903"/>
      <c r="D269" s="903"/>
      <c r="E269" s="903"/>
      <c r="F269" s="903"/>
      <c r="G269" s="904"/>
      <c r="H269" s="903"/>
      <c r="I269" s="903"/>
      <c r="J269" s="903"/>
      <c r="K269" s="905"/>
      <c r="L269" s="903"/>
      <c r="M269" s="903"/>
      <c r="N269" s="903"/>
      <c r="O269" s="903"/>
      <c r="P269" s="903"/>
      <c r="Q269" s="720"/>
      <c r="R269" s="720"/>
      <c r="S269" s="720"/>
      <c r="T269" s="720"/>
      <c r="U269" s="720"/>
      <c r="V269" s="720"/>
      <c r="W269" s="720"/>
      <c r="X269" s="720"/>
      <c r="Y269" s="720"/>
      <c r="Z269" s="720"/>
      <c r="AA269" s="720"/>
      <c r="AB269" s="720"/>
    </row>
    <row r="270" spans="1:28" ht="12.75" customHeight="1">
      <c r="A270" s="902"/>
      <c r="B270" s="903"/>
      <c r="C270" s="903"/>
      <c r="D270" s="903"/>
      <c r="E270" s="903"/>
      <c r="F270" s="903"/>
      <c r="G270" s="904"/>
      <c r="H270" s="903"/>
      <c r="I270" s="903"/>
      <c r="J270" s="903"/>
      <c r="K270" s="905"/>
      <c r="L270" s="903"/>
      <c r="M270" s="903"/>
      <c r="N270" s="903"/>
      <c r="O270" s="903"/>
      <c r="P270" s="903"/>
      <c r="Q270" s="720"/>
      <c r="R270" s="720"/>
      <c r="S270" s="720"/>
      <c r="T270" s="720"/>
      <c r="U270" s="720"/>
      <c r="V270" s="720"/>
      <c r="W270" s="720"/>
      <c r="X270" s="720"/>
      <c r="Y270" s="720"/>
      <c r="Z270" s="720"/>
      <c r="AA270" s="720"/>
      <c r="AB270" s="720"/>
    </row>
    <row r="271" spans="1:28" ht="12.75" customHeight="1">
      <c r="A271" s="902"/>
      <c r="B271" s="903"/>
      <c r="C271" s="903"/>
      <c r="D271" s="903"/>
      <c r="E271" s="903"/>
      <c r="F271" s="903"/>
      <c r="G271" s="904"/>
      <c r="H271" s="903"/>
      <c r="I271" s="903"/>
      <c r="J271" s="903"/>
      <c r="K271" s="905"/>
      <c r="L271" s="903"/>
      <c r="M271" s="903"/>
      <c r="N271" s="903"/>
      <c r="O271" s="903"/>
      <c r="P271" s="903"/>
      <c r="Q271" s="720"/>
      <c r="R271" s="720"/>
      <c r="S271" s="720"/>
      <c r="T271" s="720"/>
      <c r="U271" s="720"/>
      <c r="V271" s="720"/>
      <c r="W271" s="720"/>
      <c r="X271" s="720"/>
      <c r="Y271" s="720"/>
      <c r="Z271" s="720"/>
      <c r="AA271" s="720"/>
      <c r="AB271" s="720"/>
    </row>
    <row r="272" spans="1:28" ht="12.75" customHeight="1">
      <c r="A272" s="902"/>
      <c r="B272" s="903"/>
      <c r="C272" s="903"/>
      <c r="D272" s="903"/>
      <c r="E272" s="903"/>
      <c r="F272" s="903"/>
      <c r="G272" s="904"/>
      <c r="H272" s="903"/>
      <c r="I272" s="903"/>
      <c r="J272" s="903"/>
      <c r="K272" s="905"/>
      <c r="L272" s="903"/>
      <c r="M272" s="903"/>
      <c r="N272" s="903"/>
      <c r="O272" s="903"/>
      <c r="P272" s="903"/>
      <c r="Q272" s="720"/>
      <c r="R272" s="720"/>
      <c r="S272" s="720"/>
      <c r="T272" s="720"/>
      <c r="U272" s="720"/>
      <c r="V272" s="720"/>
      <c r="W272" s="720"/>
      <c r="X272" s="720"/>
      <c r="Y272" s="720"/>
      <c r="Z272" s="720"/>
      <c r="AA272" s="720"/>
      <c r="AB272" s="720"/>
    </row>
    <row r="273" spans="1:28" ht="12.75" customHeight="1">
      <c r="A273" s="902"/>
      <c r="B273" s="903"/>
      <c r="C273" s="903"/>
      <c r="D273" s="903"/>
      <c r="E273" s="903"/>
      <c r="F273" s="903"/>
      <c r="G273" s="904"/>
      <c r="H273" s="903"/>
      <c r="I273" s="903"/>
      <c r="J273" s="903"/>
      <c r="K273" s="905"/>
      <c r="L273" s="903"/>
      <c r="M273" s="903"/>
      <c r="N273" s="903"/>
      <c r="O273" s="903"/>
      <c r="P273" s="903"/>
      <c r="Q273" s="720"/>
      <c r="R273" s="720"/>
      <c r="S273" s="720"/>
      <c r="T273" s="720"/>
      <c r="U273" s="720"/>
      <c r="V273" s="720"/>
      <c r="W273" s="720"/>
      <c r="X273" s="720"/>
      <c r="Y273" s="720"/>
      <c r="Z273" s="720"/>
      <c r="AA273" s="720"/>
      <c r="AB273" s="720"/>
    </row>
    <row r="274" spans="1:28" ht="12.75" customHeight="1">
      <c r="A274" s="902"/>
      <c r="B274" s="903"/>
      <c r="C274" s="903"/>
      <c r="D274" s="903"/>
      <c r="E274" s="903"/>
      <c r="F274" s="903"/>
      <c r="G274" s="904"/>
      <c r="H274" s="903"/>
      <c r="I274" s="903"/>
      <c r="J274" s="903"/>
      <c r="K274" s="905"/>
      <c r="L274" s="903"/>
      <c r="M274" s="903"/>
      <c r="N274" s="903"/>
      <c r="O274" s="903"/>
      <c r="P274" s="903"/>
      <c r="Q274" s="720"/>
      <c r="R274" s="720"/>
      <c r="S274" s="720"/>
      <c r="T274" s="720"/>
      <c r="U274" s="720"/>
      <c r="V274" s="720"/>
      <c r="W274" s="720"/>
      <c r="X274" s="720"/>
      <c r="Y274" s="720"/>
      <c r="Z274" s="720"/>
      <c r="AA274" s="720"/>
      <c r="AB274" s="720"/>
    </row>
    <row r="275" spans="1:28" ht="12.75" customHeight="1">
      <c r="A275" s="902"/>
      <c r="B275" s="903"/>
      <c r="C275" s="903"/>
      <c r="D275" s="903"/>
      <c r="E275" s="903"/>
      <c r="F275" s="903"/>
      <c r="G275" s="904"/>
      <c r="H275" s="903"/>
      <c r="I275" s="903"/>
      <c r="J275" s="903"/>
      <c r="K275" s="905"/>
      <c r="L275" s="903"/>
      <c r="M275" s="903"/>
      <c r="N275" s="903"/>
      <c r="O275" s="903"/>
      <c r="P275" s="903"/>
      <c r="Q275" s="720"/>
      <c r="R275" s="720"/>
      <c r="S275" s="720"/>
      <c r="T275" s="720"/>
      <c r="U275" s="720"/>
      <c r="V275" s="720"/>
      <c r="W275" s="720"/>
      <c r="X275" s="720"/>
      <c r="Y275" s="720"/>
      <c r="Z275" s="720"/>
      <c r="AA275" s="720"/>
      <c r="AB275" s="720"/>
    </row>
    <row r="276" spans="1:28" ht="12.75" customHeight="1">
      <c r="A276" s="902"/>
      <c r="B276" s="903"/>
      <c r="C276" s="903"/>
      <c r="D276" s="903"/>
      <c r="E276" s="903"/>
      <c r="F276" s="903"/>
      <c r="G276" s="904"/>
      <c r="H276" s="903"/>
      <c r="I276" s="903"/>
      <c r="J276" s="903"/>
      <c r="K276" s="905"/>
      <c r="L276" s="903"/>
      <c r="M276" s="903"/>
      <c r="N276" s="903"/>
      <c r="O276" s="903"/>
      <c r="P276" s="903"/>
      <c r="Q276" s="720"/>
      <c r="R276" s="720"/>
      <c r="S276" s="720"/>
      <c r="T276" s="720"/>
      <c r="U276" s="720"/>
      <c r="V276" s="720"/>
      <c r="W276" s="720"/>
      <c r="X276" s="720"/>
      <c r="Y276" s="720"/>
      <c r="Z276" s="720"/>
      <c r="AA276" s="720"/>
      <c r="AB276" s="720"/>
    </row>
    <row r="277" spans="1:28" ht="12.75" customHeight="1">
      <c r="A277" s="902"/>
      <c r="B277" s="903"/>
      <c r="C277" s="903"/>
      <c r="D277" s="903"/>
      <c r="E277" s="903"/>
      <c r="F277" s="903"/>
      <c r="G277" s="904"/>
      <c r="H277" s="903"/>
      <c r="I277" s="903"/>
      <c r="J277" s="903"/>
      <c r="K277" s="905"/>
      <c r="L277" s="903"/>
      <c r="M277" s="903"/>
      <c r="N277" s="903"/>
      <c r="O277" s="903"/>
      <c r="P277" s="903"/>
      <c r="Q277" s="720"/>
      <c r="R277" s="720"/>
      <c r="S277" s="720"/>
      <c r="T277" s="720"/>
      <c r="U277" s="720"/>
      <c r="V277" s="720"/>
      <c r="W277" s="720"/>
      <c r="X277" s="720"/>
      <c r="Y277" s="720"/>
      <c r="Z277" s="720"/>
      <c r="AA277" s="720"/>
      <c r="AB277" s="720"/>
    </row>
    <row r="278" spans="1:28" ht="12.75" customHeight="1">
      <c r="A278" s="902"/>
      <c r="B278" s="903"/>
      <c r="C278" s="903"/>
      <c r="D278" s="903"/>
      <c r="E278" s="903"/>
      <c r="F278" s="903"/>
      <c r="G278" s="904"/>
      <c r="H278" s="903"/>
      <c r="I278" s="903"/>
      <c r="J278" s="903"/>
      <c r="K278" s="905"/>
      <c r="L278" s="903"/>
      <c r="M278" s="903"/>
      <c r="N278" s="903"/>
      <c r="O278" s="903"/>
      <c r="P278" s="903"/>
      <c r="Q278" s="720"/>
      <c r="R278" s="720"/>
      <c r="S278" s="720"/>
      <c r="T278" s="720"/>
      <c r="U278" s="720"/>
      <c r="V278" s="720"/>
      <c r="W278" s="720"/>
      <c r="X278" s="720"/>
      <c r="Y278" s="720"/>
      <c r="Z278" s="720"/>
      <c r="AA278" s="720"/>
      <c r="AB278" s="720"/>
    </row>
    <row r="279" spans="1:28" ht="12.75" customHeight="1">
      <c r="A279" s="902"/>
      <c r="B279" s="903"/>
      <c r="C279" s="903"/>
      <c r="D279" s="903"/>
      <c r="E279" s="903"/>
      <c r="F279" s="903"/>
      <c r="G279" s="904"/>
      <c r="H279" s="903"/>
      <c r="I279" s="903"/>
      <c r="J279" s="903"/>
      <c r="K279" s="905"/>
      <c r="L279" s="903"/>
      <c r="M279" s="903"/>
      <c r="N279" s="903"/>
      <c r="O279" s="903"/>
      <c r="P279" s="903"/>
      <c r="Q279" s="720"/>
      <c r="R279" s="720"/>
      <c r="S279" s="720"/>
      <c r="T279" s="720"/>
      <c r="U279" s="720"/>
      <c r="V279" s="720"/>
      <c r="W279" s="720"/>
      <c r="X279" s="720"/>
      <c r="Y279" s="720"/>
      <c r="Z279" s="720"/>
      <c r="AA279" s="720"/>
      <c r="AB279" s="720"/>
    </row>
    <row r="280" spans="1:28" ht="12.75" customHeight="1">
      <c r="A280" s="902"/>
      <c r="B280" s="903"/>
      <c r="C280" s="903"/>
      <c r="D280" s="903"/>
      <c r="E280" s="903"/>
      <c r="F280" s="903"/>
      <c r="G280" s="904"/>
      <c r="H280" s="903"/>
      <c r="I280" s="903"/>
      <c r="J280" s="903"/>
      <c r="K280" s="905"/>
      <c r="L280" s="903"/>
      <c r="M280" s="903"/>
      <c r="N280" s="903"/>
      <c r="O280" s="903"/>
      <c r="P280" s="903"/>
      <c r="Q280" s="720"/>
      <c r="R280" s="720"/>
      <c r="S280" s="720"/>
      <c r="T280" s="720"/>
      <c r="U280" s="720"/>
      <c r="V280" s="720"/>
      <c r="W280" s="720"/>
      <c r="X280" s="720"/>
      <c r="Y280" s="720"/>
      <c r="Z280" s="720"/>
      <c r="AA280" s="720"/>
      <c r="AB280" s="720"/>
    </row>
    <row r="281" spans="1:28" ht="12.75" customHeight="1">
      <c r="A281" s="902"/>
      <c r="B281" s="903"/>
      <c r="C281" s="903"/>
      <c r="D281" s="903"/>
      <c r="E281" s="903"/>
      <c r="F281" s="903"/>
      <c r="G281" s="904"/>
      <c r="H281" s="903"/>
      <c r="I281" s="903"/>
      <c r="J281" s="903"/>
      <c r="K281" s="905"/>
      <c r="L281" s="903"/>
      <c r="M281" s="903"/>
      <c r="N281" s="903"/>
      <c r="O281" s="903"/>
      <c r="P281" s="903"/>
      <c r="Q281" s="720"/>
      <c r="R281" s="720"/>
      <c r="S281" s="720"/>
      <c r="T281" s="720"/>
      <c r="U281" s="720"/>
      <c r="V281" s="720"/>
      <c r="W281" s="720"/>
      <c r="X281" s="720"/>
      <c r="Y281" s="720"/>
      <c r="Z281" s="720"/>
      <c r="AA281" s="720"/>
      <c r="AB281" s="720"/>
    </row>
    <row r="282" spans="1:28" ht="12.75" customHeight="1">
      <c r="A282" s="902"/>
      <c r="B282" s="903"/>
      <c r="C282" s="903"/>
      <c r="D282" s="903"/>
      <c r="E282" s="903"/>
      <c r="F282" s="903"/>
      <c r="G282" s="904"/>
      <c r="H282" s="903"/>
      <c r="I282" s="903"/>
      <c r="J282" s="903"/>
      <c r="K282" s="905"/>
      <c r="L282" s="903"/>
      <c r="M282" s="903"/>
      <c r="N282" s="903"/>
      <c r="O282" s="903"/>
      <c r="P282" s="903"/>
      <c r="Q282" s="720"/>
      <c r="R282" s="720"/>
      <c r="S282" s="720"/>
      <c r="T282" s="720"/>
      <c r="U282" s="720"/>
      <c r="V282" s="720"/>
      <c r="W282" s="720"/>
      <c r="X282" s="720"/>
      <c r="Y282" s="720"/>
      <c r="Z282" s="720"/>
      <c r="AA282" s="720"/>
      <c r="AB282" s="720"/>
    </row>
    <row r="283" spans="1:28" ht="12.75" customHeight="1">
      <c r="A283" s="902"/>
      <c r="B283" s="903"/>
      <c r="C283" s="903"/>
      <c r="D283" s="903"/>
      <c r="E283" s="903"/>
      <c r="F283" s="903"/>
      <c r="G283" s="904"/>
      <c r="H283" s="903"/>
      <c r="I283" s="903"/>
      <c r="J283" s="903"/>
      <c r="K283" s="905"/>
      <c r="L283" s="903"/>
      <c r="M283" s="903"/>
      <c r="N283" s="903"/>
      <c r="O283" s="903"/>
      <c r="P283" s="903"/>
      <c r="Q283" s="720"/>
      <c r="R283" s="720"/>
      <c r="S283" s="720"/>
      <c r="T283" s="720"/>
      <c r="U283" s="720"/>
      <c r="V283" s="720"/>
      <c r="W283" s="720"/>
      <c r="X283" s="720"/>
      <c r="Y283" s="720"/>
      <c r="Z283" s="720"/>
      <c r="AA283" s="720"/>
      <c r="AB283" s="720"/>
    </row>
    <row r="284" spans="1:28" ht="12.75" customHeight="1">
      <c r="A284" s="902"/>
      <c r="B284" s="903"/>
      <c r="C284" s="903"/>
      <c r="D284" s="903"/>
      <c r="E284" s="903"/>
      <c r="F284" s="903"/>
      <c r="G284" s="904"/>
      <c r="H284" s="903"/>
      <c r="I284" s="903"/>
      <c r="J284" s="903"/>
      <c r="K284" s="905"/>
      <c r="L284" s="903"/>
      <c r="M284" s="903"/>
      <c r="N284" s="903"/>
      <c r="O284" s="903"/>
      <c r="P284" s="903"/>
      <c r="Q284" s="720"/>
      <c r="R284" s="720"/>
      <c r="S284" s="720"/>
      <c r="T284" s="720"/>
      <c r="U284" s="720"/>
      <c r="V284" s="720"/>
      <c r="W284" s="720"/>
      <c r="X284" s="720"/>
      <c r="Y284" s="720"/>
      <c r="Z284" s="720"/>
      <c r="AA284" s="720"/>
      <c r="AB284" s="720"/>
    </row>
    <row r="285" spans="1:28" ht="12.75" customHeight="1">
      <c r="A285" s="902"/>
      <c r="B285" s="903"/>
      <c r="C285" s="903"/>
      <c r="D285" s="903"/>
      <c r="E285" s="903"/>
      <c r="F285" s="903"/>
      <c r="G285" s="904"/>
      <c r="H285" s="903"/>
      <c r="I285" s="903"/>
      <c r="J285" s="903"/>
      <c r="K285" s="905"/>
      <c r="L285" s="903"/>
      <c r="M285" s="903"/>
      <c r="N285" s="903"/>
      <c r="O285" s="903"/>
      <c r="P285" s="903"/>
      <c r="Q285" s="720"/>
      <c r="R285" s="720"/>
      <c r="S285" s="720"/>
      <c r="T285" s="720"/>
      <c r="U285" s="720"/>
      <c r="V285" s="720"/>
      <c r="W285" s="720"/>
      <c r="X285" s="720"/>
      <c r="Y285" s="720"/>
      <c r="Z285" s="720"/>
      <c r="AA285" s="720"/>
      <c r="AB285" s="720"/>
    </row>
    <row r="286" spans="1:28" ht="12.75" customHeight="1">
      <c r="A286" s="902"/>
      <c r="B286" s="903"/>
      <c r="C286" s="903"/>
      <c r="D286" s="903"/>
      <c r="E286" s="903"/>
      <c r="F286" s="903"/>
      <c r="G286" s="904"/>
      <c r="H286" s="903"/>
      <c r="I286" s="903"/>
      <c r="J286" s="903"/>
      <c r="K286" s="905"/>
      <c r="L286" s="903"/>
      <c r="M286" s="903"/>
      <c r="N286" s="903"/>
      <c r="O286" s="903"/>
      <c r="P286" s="903"/>
      <c r="Q286" s="720"/>
      <c r="R286" s="720"/>
      <c r="S286" s="720"/>
      <c r="T286" s="720"/>
      <c r="U286" s="720"/>
      <c r="V286" s="720"/>
      <c r="W286" s="720"/>
      <c r="X286" s="720"/>
      <c r="Y286" s="720"/>
      <c r="Z286" s="720"/>
      <c r="AA286" s="720"/>
      <c r="AB286" s="720"/>
    </row>
    <row r="287" spans="1:28" ht="12.75" customHeight="1">
      <c r="A287" s="902"/>
      <c r="B287" s="903"/>
      <c r="C287" s="903"/>
      <c r="D287" s="903"/>
      <c r="E287" s="903"/>
      <c r="F287" s="903"/>
      <c r="G287" s="904"/>
      <c r="H287" s="903"/>
      <c r="I287" s="903"/>
      <c r="J287" s="903"/>
      <c r="K287" s="905"/>
      <c r="L287" s="903"/>
      <c r="M287" s="903"/>
      <c r="N287" s="903"/>
      <c r="O287" s="903"/>
      <c r="P287" s="903"/>
      <c r="Q287" s="720"/>
      <c r="R287" s="720"/>
      <c r="S287" s="720"/>
      <c r="T287" s="720"/>
      <c r="U287" s="720"/>
      <c r="V287" s="720"/>
      <c r="W287" s="720"/>
      <c r="X287" s="720"/>
      <c r="Y287" s="720"/>
      <c r="Z287" s="720"/>
      <c r="AA287" s="720"/>
      <c r="AB287" s="720"/>
    </row>
    <row r="288" spans="1:28" ht="12.75" customHeight="1">
      <c r="A288" s="902"/>
      <c r="B288" s="903"/>
      <c r="C288" s="903"/>
      <c r="D288" s="903"/>
      <c r="E288" s="903"/>
      <c r="F288" s="903"/>
      <c r="G288" s="904"/>
      <c r="H288" s="903"/>
      <c r="I288" s="903"/>
      <c r="J288" s="903"/>
      <c r="K288" s="905"/>
      <c r="L288" s="903"/>
      <c r="M288" s="903"/>
      <c r="N288" s="903"/>
      <c r="O288" s="903"/>
      <c r="P288" s="903"/>
      <c r="Q288" s="720"/>
      <c r="R288" s="720"/>
      <c r="S288" s="720"/>
      <c r="T288" s="720"/>
      <c r="U288" s="720"/>
      <c r="V288" s="720"/>
      <c r="W288" s="720"/>
      <c r="X288" s="720"/>
      <c r="Y288" s="720"/>
      <c r="Z288" s="720"/>
      <c r="AA288" s="720"/>
      <c r="AB288" s="720"/>
    </row>
    <row r="289" spans="1:28" ht="12.75" customHeight="1">
      <c r="A289" s="902"/>
      <c r="B289" s="903"/>
      <c r="C289" s="903"/>
      <c r="D289" s="903"/>
      <c r="E289" s="903"/>
      <c r="F289" s="903"/>
      <c r="G289" s="904"/>
      <c r="H289" s="903"/>
      <c r="I289" s="903"/>
      <c r="J289" s="903"/>
      <c r="K289" s="905"/>
      <c r="L289" s="903"/>
      <c r="M289" s="903"/>
      <c r="N289" s="903"/>
      <c r="O289" s="903"/>
      <c r="P289" s="903"/>
      <c r="Q289" s="720"/>
      <c r="R289" s="720"/>
      <c r="S289" s="720"/>
      <c r="T289" s="720"/>
      <c r="U289" s="720"/>
      <c r="V289" s="720"/>
      <c r="W289" s="720"/>
      <c r="X289" s="720"/>
      <c r="Y289" s="720"/>
      <c r="Z289" s="720"/>
      <c r="AA289" s="720"/>
      <c r="AB289" s="720"/>
    </row>
    <row r="290" spans="1:28" ht="12.75" customHeight="1">
      <c r="A290" s="902"/>
      <c r="B290" s="903"/>
      <c r="C290" s="903"/>
      <c r="D290" s="903"/>
      <c r="E290" s="903"/>
      <c r="F290" s="903"/>
      <c r="G290" s="904"/>
      <c r="H290" s="903"/>
      <c r="I290" s="903"/>
      <c r="J290" s="903"/>
      <c r="K290" s="905"/>
      <c r="L290" s="903"/>
      <c r="M290" s="903"/>
      <c r="N290" s="903"/>
      <c r="O290" s="903"/>
      <c r="P290" s="903"/>
      <c r="Q290" s="720"/>
      <c r="R290" s="720"/>
      <c r="S290" s="720"/>
      <c r="T290" s="720"/>
      <c r="U290" s="720"/>
      <c r="V290" s="720"/>
      <c r="W290" s="720"/>
      <c r="X290" s="720"/>
      <c r="Y290" s="720"/>
      <c r="Z290" s="720"/>
      <c r="AA290" s="720"/>
      <c r="AB290" s="720"/>
    </row>
    <row r="291" spans="1:28" ht="12.75" customHeight="1">
      <c r="A291" s="902"/>
      <c r="B291" s="903"/>
      <c r="C291" s="903"/>
      <c r="D291" s="903"/>
      <c r="E291" s="903"/>
      <c r="F291" s="903"/>
      <c r="G291" s="904"/>
      <c r="H291" s="903"/>
      <c r="I291" s="903"/>
      <c r="J291" s="903"/>
      <c r="K291" s="905"/>
      <c r="L291" s="903"/>
      <c r="M291" s="903"/>
      <c r="N291" s="903"/>
      <c r="O291" s="903"/>
      <c r="P291" s="903"/>
      <c r="Q291" s="720"/>
      <c r="R291" s="720"/>
      <c r="S291" s="720"/>
      <c r="T291" s="720"/>
      <c r="U291" s="720"/>
      <c r="V291" s="720"/>
      <c r="W291" s="720"/>
      <c r="X291" s="720"/>
      <c r="Y291" s="720"/>
      <c r="Z291" s="720"/>
      <c r="AA291" s="720"/>
      <c r="AB291" s="720"/>
    </row>
    <row r="292" spans="1:28" ht="12.75" customHeight="1">
      <c r="A292" s="902"/>
      <c r="B292" s="903"/>
      <c r="C292" s="903"/>
      <c r="D292" s="903"/>
      <c r="E292" s="903"/>
      <c r="F292" s="903"/>
      <c r="G292" s="904"/>
      <c r="H292" s="903"/>
      <c r="I292" s="903"/>
      <c r="J292" s="903"/>
      <c r="K292" s="905"/>
      <c r="L292" s="903"/>
      <c r="M292" s="903"/>
      <c r="N292" s="903"/>
      <c r="O292" s="903"/>
      <c r="P292" s="903"/>
      <c r="Q292" s="720"/>
      <c r="R292" s="720"/>
      <c r="S292" s="720"/>
      <c r="T292" s="720"/>
      <c r="U292" s="720"/>
      <c r="V292" s="720"/>
      <c r="W292" s="720"/>
      <c r="X292" s="720"/>
      <c r="Y292" s="720"/>
      <c r="Z292" s="720"/>
      <c r="AA292" s="720"/>
      <c r="AB292" s="720"/>
    </row>
    <row r="293" spans="1:28" ht="12.75" customHeight="1">
      <c r="A293" s="902"/>
      <c r="B293" s="903"/>
      <c r="C293" s="903"/>
      <c r="D293" s="903"/>
      <c r="E293" s="903"/>
      <c r="F293" s="903"/>
      <c r="G293" s="904"/>
      <c r="H293" s="903"/>
      <c r="I293" s="903"/>
      <c r="J293" s="903"/>
      <c r="K293" s="905"/>
      <c r="L293" s="903"/>
      <c r="M293" s="903"/>
      <c r="N293" s="903"/>
      <c r="O293" s="903"/>
      <c r="P293" s="903"/>
      <c r="Q293" s="720"/>
      <c r="R293" s="720"/>
      <c r="S293" s="720"/>
      <c r="T293" s="720"/>
      <c r="U293" s="720"/>
      <c r="V293" s="720"/>
      <c r="W293" s="720"/>
      <c r="X293" s="720"/>
      <c r="Y293" s="720"/>
      <c r="Z293" s="720"/>
      <c r="AA293" s="720"/>
      <c r="AB293" s="720"/>
    </row>
    <row r="294" spans="1:28" ht="12.75" customHeight="1">
      <c r="A294" s="902"/>
      <c r="B294" s="903"/>
      <c r="C294" s="903"/>
      <c r="D294" s="903"/>
      <c r="E294" s="903"/>
      <c r="F294" s="903"/>
      <c r="G294" s="904"/>
      <c r="H294" s="903"/>
      <c r="I294" s="903"/>
      <c r="J294" s="903"/>
      <c r="K294" s="905"/>
      <c r="L294" s="903"/>
      <c r="M294" s="903"/>
      <c r="N294" s="903"/>
      <c r="O294" s="903"/>
      <c r="P294" s="903"/>
      <c r="Q294" s="720"/>
      <c r="R294" s="720"/>
      <c r="S294" s="720"/>
      <c r="T294" s="720"/>
      <c r="U294" s="720"/>
      <c r="V294" s="720"/>
      <c r="W294" s="720"/>
      <c r="X294" s="720"/>
      <c r="Y294" s="720"/>
      <c r="Z294" s="720"/>
      <c r="AA294" s="720"/>
      <c r="AB294" s="720"/>
    </row>
    <row r="295" spans="1:28" ht="12.75" customHeight="1">
      <c r="A295" s="902"/>
      <c r="B295" s="903"/>
      <c r="C295" s="903"/>
      <c r="D295" s="903"/>
      <c r="E295" s="903"/>
      <c r="F295" s="903"/>
      <c r="G295" s="904"/>
      <c r="H295" s="903"/>
      <c r="I295" s="903"/>
      <c r="J295" s="903"/>
      <c r="K295" s="905"/>
      <c r="L295" s="903"/>
      <c r="M295" s="903"/>
      <c r="N295" s="903"/>
      <c r="O295" s="903"/>
      <c r="P295" s="903"/>
      <c r="Q295" s="720"/>
      <c r="R295" s="720"/>
      <c r="S295" s="720"/>
      <c r="T295" s="720"/>
      <c r="U295" s="720"/>
      <c r="V295" s="720"/>
      <c r="W295" s="720"/>
      <c r="X295" s="720"/>
      <c r="Y295" s="720"/>
      <c r="Z295" s="720"/>
      <c r="AA295" s="720"/>
      <c r="AB295" s="720"/>
    </row>
    <row r="296" spans="1:28" ht="12.75" customHeight="1">
      <c r="A296" s="902"/>
      <c r="B296" s="903"/>
      <c r="C296" s="903"/>
      <c r="D296" s="903"/>
      <c r="E296" s="903"/>
      <c r="F296" s="903"/>
      <c r="G296" s="904"/>
      <c r="H296" s="903"/>
      <c r="I296" s="903"/>
      <c r="J296" s="903"/>
      <c r="K296" s="905"/>
      <c r="L296" s="903"/>
      <c r="M296" s="903"/>
      <c r="N296" s="903"/>
      <c r="O296" s="903"/>
      <c r="P296" s="903"/>
      <c r="Q296" s="720"/>
      <c r="R296" s="720"/>
      <c r="S296" s="720"/>
      <c r="T296" s="720"/>
      <c r="U296" s="720"/>
      <c r="V296" s="720"/>
      <c r="W296" s="720"/>
      <c r="X296" s="720"/>
      <c r="Y296" s="720"/>
      <c r="Z296" s="720"/>
      <c r="AA296" s="720"/>
      <c r="AB296" s="720"/>
    </row>
    <row r="297" spans="1:28" ht="12.75" customHeight="1">
      <c r="A297" s="902"/>
      <c r="B297" s="903"/>
      <c r="C297" s="903"/>
      <c r="D297" s="903"/>
      <c r="E297" s="903"/>
      <c r="F297" s="903"/>
      <c r="G297" s="904"/>
      <c r="H297" s="903"/>
      <c r="I297" s="903"/>
      <c r="J297" s="903"/>
      <c r="K297" s="905"/>
      <c r="L297" s="903"/>
      <c r="M297" s="903"/>
      <c r="N297" s="903"/>
      <c r="O297" s="903"/>
      <c r="P297" s="903"/>
      <c r="Q297" s="720"/>
      <c r="R297" s="720"/>
      <c r="S297" s="720"/>
      <c r="T297" s="720"/>
      <c r="U297" s="720"/>
      <c r="V297" s="720"/>
      <c r="W297" s="720"/>
      <c r="X297" s="720"/>
      <c r="Y297" s="720"/>
      <c r="Z297" s="720"/>
      <c r="AA297" s="720"/>
      <c r="AB297" s="720"/>
    </row>
    <row r="298" spans="1:28" ht="12.75" customHeight="1">
      <c r="A298" s="902"/>
      <c r="B298" s="903"/>
      <c r="C298" s="903"/>
      <c r="D298" s="903"/>
      <c r="E298" s="903"/>
      <c r="F298" s="903"/>
      <c r="G298" s="904"/>
      <c r="H298" s="903"/>
      <c r="I298" s="903"/>
      <c r="J298" s="903"/>
      <c r="K298" s="905"/>
      <c r="L298" s="903"/>
      <c r="M298" s="903"/>
      <c r="N298" s="903"/>
      <c r="O298" s="903"/>
      <c r="P298" s="903"/>
      <c r="Q298" s="720"/>
      <c r="R298" s="720"/>
      <c r="S298" s="720"/>
      <c r="T298" s="720"/>
      <c r="U298" s="720"/>
      <c r="V298" s="720"/>
      <c r="W298" s="720"/>
      <c r="X298" s="720"/>
      <c r="Y298" s="720"/>
      <c r="Z298" s="720"/>
      <c r="AA298" s="720"/>
      <c r="AB298" s="720"/>
    </row>
    <row r="299" spans="1:28" ht="12.75" customHeight="1">
      <c r="A299" s="902"/>
      <c r="B299" s="903"/>
      <c r="C299" s="903"/>
      <c r="D299" s="903"/>
      <c r="E299" s="903"/>
      <c r="F299" s="903"/>
      <c r="G299" s="904"/>
      <c r="H299" s="903"/>
      <c r="I299" s="903"/>
      <c r="J299" s="903"/>
      <c r="K299" s="905"/>
      <c r="L299" s="903"/>
      <c r="M299" s="903"/>
      <c r="N299" s="903"/>
      <c r="O299" s="903"/>
      <c r="P299" s="903"/>
      <c r="Q299" s="720"/>
      <c r="R299" s="720"/>
      <c r="S299" s="720"/>
      <c r="T299" s="720"/>
      <c r="U299" s="720"/>
      <c r="V299" s="720"/>
      <c r="W299" s="720"/>
      <c r="X299" s="720"/>
      <c r="Y299" s="720"/>
      <c r="Z299" s="720"/>
      <c r="AA299" s="720"/>
      <c r="AB299" s="720"/>
    </row>
    <row r="300" spans="1:28" ht="12.75" customHeight="1">
      <c r="A300" s="902"/>
      <c r="B300" s="903"/>
      <c r="C300" s="903"/>
      <c r="D300" s="903"/>
      <c r="E300" s="903"/>
      <c r="F300" s="903"/>
      <c r="G300" s="904"/>
      <c r="H300" s="903"/>
      <c r="I300" s="903"/>
      <c r="J300" s="903"/>
      <c r="K300" s="905"/>
      <c r="L300" s="903"/>
      <c r="M300" s="903"/>
      <c r="N300" s="903"/>
      <c r="O300" s="903"/>
      <c r="P300" s="903"/>
      <c r="Q300" s="720"/>
      <c r="R300" s="720"/>
      <c r="S300" s="720"/>
      <c r="T300" s="720"/>
      <c r="U300" s="720"/>
      <c r="V300" s="720"/>
      <c r="W300" s="720"/>
      <c r="X300" s="720"/>
      <c r="Y300" s="720"/>
      <c r="Z300" s="720"/>
      <c r="AA300" s="720"/>
      <c r="AB300" s="720"/>
    </row>
    <row r="301" spans="1:28" ht="12.75" customHeight="1">
      <c r="A301" s="902"/>
      <c r="B301" s="903"/>
      <c r="C301" s="903"/>
      <c r="D301" s="903"/>
      <c r="E301" s="903"/>
      <c r="F301" s="903"/>
      <c r="G301" s="904"/>
      <c r="H301" s="903"/>
      <c r="I301" s="903"/>
      <c r="J301" s="903"/>
      <c r="K301" s="905"/>
      <c r="L301" s="903"/>
      <c r="M301" s="903"/>
      <c r="N301" s="903"/>
      <c r="O301" s="903"/>
      <c r="P301" s="903"/>
      <c r="Q301" s="720"/>
      <c r="R301" s="720"/>
      <c r="S301" s="720"/>
      <c r="T301" s="720"/>
      <c r="U301" s="720"/>
      <c r="V301" s="720"/>
      <c r="W301" s="720"/>
      <c r="X301" s="720"/>
      <c r="Y301" s="720"/>
      <c r="Z301" s="720"/>
      <c r="AA301" s="720"/>
      <c r="AB301" s="720"/>
    </row>
    <row r="302" spans="1:28" ht="12.75" customHeight="1">
      <c r="A302" s="902"/>
      <c r="B302" s="903"/>
      <c r="C302" s="903"/>
      <c r="D302" s="903"/>
      <c r="E302" s="903"/>
      <c r="F302" s="903"/>
      <c r="G302" s="904"/>
      <c r="H302" s="903"/>
      <c r="I302" s="903"/>
      <c r="J302" s="903"/>
      <c r="K302" s="905"/>
      <c r="L302" s="903"/>
      <c r="M302" s="903"/>
      <c r="N302" s="903"/>
      <c r="O302" s="903"/>
      <c r="P302" s="903"/>
      <c r="Q302" s="720"/>
      <c r="R302" s="720"/>
      <c r="S302" s="720"/>
      <c r="T302" s="720"/>
      <c r="U302" s="720"/>
      <c r="V302" s="720"/>
      <c r="W302" s="720"/>
      <c r="X302" s="720"/>
      <c r="Y302" s="720"/>
      <c r="Z302" s="720"/>
      <c r="AA302" s="720"/>
      <c r="AB302" s="720"/>
    </row>
    <row r="303" spans="1:28" ht="12.75" customHeight="1">
      <c r="A303" s="902"/>
      <c r="B303" s="903"/>
      <c r="C303" s="903"/>
      <c r="D303" s="903"/>
      <c r="E303" s="903"/>
      <c r="F303" s="903"/>
      <c r="G303" s="904"/>
      <c r="H303" s="903"/>
      <c r="I303" s="903"/>
      <c r="J303" s="903"/>
      <c r="K303" s="905"/>
      <c r="L303" s="903"/>
      <c r="M303" s="903"/>
      <c r="N303" s="903"/>
      <c r="O303" s="903"/>
      <c r="P303" s="903"/>
      <c r="Q303" s="720"/>
      <c r="R303" s="720"/>
      <c r="S303" s="720"/>
      <c r="T303" s="720"/>
      <c r="U303" s="720"/>
      <c r="V303" s="720"/>
      <c r="W303" s="720"/>
      <c r="X303" s="720"/>
      <c r="Y303" s="720"/>
      <c r="Z303" s="720"/>
      <c r="AA303" s="720"/>
      <c r="AB303" s="720"/>
    </row>
    <row r="304" spans="1:28" ht="12.75" customHeight="1">
      <c r="A304" s="902"/>
      <c r="B304" s="903"/>
      <c r="C304" s="903"/>
      <c r="D304" s="903"/>
      <c r="E304" s="903"/>
      <c r="F304" s="903"/>
      <c r="G304" s="904"/>
      <c r="H304" s="903"/>
      <c r="I304" s="903"/>
      <c r="J304" s="903"/>
      <c r="K304" s="905"/>
      <c r="L304" s="903"/>
      <c r="M304" s="903"/>
      <c r="N304" s="903"/>
      <c r="O304" s="903"/>
      <c r="P304" s="903"/>
      <c r="Q304" s="720"/>
      <c r="R304" s="720"/>
      <c r="S304" s="720"/>
      <c r="T304" s="720"/>
      <c r="U304" s="720"/>
      <c r="V304" s="720"/>
      <c r="W304" s="720"/>
      <c r="X304" s="720"/>
      <c r="Y304" s="720"/>
      <c r="Z304" s="720"/>
      <c r="AA304" s="720"/>
      <c r="AB304" s="720"/>
    </row>
    <row r="305" spans="1:28" ht="12.75" customHeight="1">
      <c r="A305" s="902"/>
      <c r="B305" s="903"/>
      <c r="C305" s="903"/>
      <c r="D305" s="903"/>
      <c r="E305" s="903"/>
      <c r="F305" s="903"/>
      <c r="G305" s="904"/>
      <c r="H305" s="903"/>
      <c r="I305" s="903"/>
      <c r="J305" s="903"/>
      <c r="K305" s="905"/>
      <c r="L305" s="903"/>
      <c r="M305" s="903"/>
      <c r="N305" s="903"/>
      <c r="O305" s="903"/>
      <c r="P305" s="903"/>
      <c r="Q305" s="720"/>
      <c r="R305" s="720"/>
      <c r="S305" s="720"/>
      <c r="T305" s="720"/>
      <c r="U305" s="720"/>
      <c r="V305" s="720"/>
      <c r="W305" s="720"/>
      <c r="X305" s="720"/>
      <c r="Y305" s="720"/>
      <c r="Z305" s="720"/>
      <c r="AA305" s="720"/>
      <c r="AB305" s="720"/>
    </row>
    <row r="306" spans="1:28" ht="12.75" customHeight="1">
      <c r="A306" s="902"/>
      <c r="B306" s="903"/>
      <c r="C306" s="903"/>
      <c r="D306" s="903"/>
      <c r="E306" s="903"/>
      <c r="F306" s="903"/>
      <c r="G306" s="904"/>
      <c r="H306" s="903"/>
      <c r="I306" s="903"/>
      <c r="J306" s="903"/>
      <c r="K306" s="905"/>
      <c r="L306" s="903"/>
      <c r="M306" s="903"/>
      <c r="N306" s="903"/>
      <c r="O306" s="903"/>
      <c r="P306" s="903"/>
      <c r="Q306" s="720"/>
      <c r="R306" s="720"/>
      <c r="S306" s="720"/>
      <c r="T306" s="720"/>
      <c r="U306" s="720"/>
      <c r="V306" s="720"/>
      <c r="W306" s="720"/>
      <c r="X306" s="720"/>
      <c r="Y306" s="720"/>
      <c r="Z306" s="720"/>
      <c r="AA306" s="720"/>
      <c r="AB306" s="720"/>
    </row>
    <row r="307" spans="1:28" ht="12.75" customHeight="1">
      <c r="A307" s="902"/>
      <c r="B307" s="903"/>
      <c r="C307" s="903"/>
      <c r="D307" s="903"/>
      <c r="E307" s="903"/>
      <c r="F307" s="903"/>
      <c r="G307" s="904"/>
      <c r="H307" s="903"/>
      <c r="I307" s="903"/>
      <c r="J307" s="903"/>
      <c r="K307" s="905"/>
      <c r="L307" s="903"/>
      <c r="M307" s="903"/>
      <c r="N307" s="903"/>
      <c r="O307" s="903"/>
      <c r="P307" s="903"/>
      <c r="Q307" s="720"/>
      <c r="R307" s="720"/>
      <c r="S307" s="720"/>
      <c r="T307" s="720"/>
      <c r="U307" s="720"/>
      <c r="V307" s="720"/>
      <c r="W307" s="720"/>
      <c r="X307" s="720"/>
      <c r="Y307" s="720"/>
      <c r="Z307" s="720"/>
      <c r="AA307" s="720"/>
      <c r="AB307" s="720"/>
    </row>
    <row r="308" spans="1:28" ht="12.75" customHeight="1">
      <c r="A308" s="902"/>
      <c r="B308" s="903"/>
      <c r="C308" s="903"/>
      <c r="D308" s="903"/>
      <c r="E308" s="903"/>
      <c r="F308" s="903"/>
      <c r="G308" s="904"/>
      <c r="H308" s="903"/>
      <c r="I308" s="903"/>
      <c r="J308" s="903"/>
      <c r="K308" s="905"/>
      <c r="L308" s="903"/>
      <c r="M308" s="903"/>
      <c r="N308" s="903"/>
      <c r="O308" s="903"/>
      <c r="P308" s="903"/>
      <c r="Q308" s="720"/>
      <c r="R308" s="720"/>
      <c r="S308" s="720"/>
      <c r="T308" s="720"/>
      <c r="U308" s="720"/>
      <c r="V308" s="720"/>
      <c r="W308" s="720"/>
      <c r="X308" s="720"/>
      <c r="Y308" s="720"/>
      <c r="Z308" s="720"/>
      <c r="AA308" s="720"/>
      <c r="AB308" s="720"/>
    </row>
    <row r="309" spans="1:28" ht="12.75" customHeight="1">
      <c r="A309" s="902"/>
      <c r="B309" s="903"/>
      <c r="C309" s="903"/>
      <c r="D309" s="903"/>
      <c r="E309" s="903"/>
      <c r="F309" s="903"/>
      <c r="G309" s="904"/>
      <c r="H309" s="903"/>
      <c r="I309" s="903"/>
      <c r="J309" s="903"/>
      <c r="K309" s="905"/>
      <c r="L309" s="903"/>
      <c r="M309" s="903"/>
      <c r="N309" s="903"/>
      <c r="O309" s="903"/>
      <c r="P309" s="903"/>
      <c r="Q309" s="720"/>
      <c r="R309" s="720"/>
      <c r="S309" s="720"/>
      <c r="T309" s="720"/>
      <c r="U309" s="720"/>
      <c r="V309" s="720"/>
      <c r="W309" s="720"/>
      <c r="X309" s="720"/>
      <c r="Y309" s="720"/>
      <c r="Z309" s="720"/>
      <c r="AA309" s="720"/>
      <c r="AB309" s="720"/>
    </row>
    <row r="310" spans="1:28" ht="12.75" customHeight="1">
      <c r="A310" s="902"/>
      <c r="B310" s="903"/>
      <c r="C310" s="903"/>
      <c r="D310" s="903"/>
      <c r="E310" s="903"/>
      <c r="F310" s="903"/>
      <c r="G310" s="904"/>
      <c r="H310" s="903"/>
      <c r="I310" s="903"/>
      <c r="J310" s="903"/>
      <c r="K310" s="905"/>
      <c r="L310" s="903"/>
      <c r="M310" s="903"/>
      <c r="N310" s="903"/>
      <c r="O310" s="903"/>
      <c r="P310" s="903"/>
      <c r="Q310" s="720"/>
      <c r="R310" s="720"/>
      <c r="S310" s="720"/>
      <c r="T310" s="720"/>
      <c r="U310" s="720"/>
      <c r="V310" s="720"/>
      <c r="W310" s="720"/>
      <c r="X310" s="720"/>
      <c r="Y310" s="720"/>
      <c r="Z310" s="720"/>
      <c r="AA310" s="720"/>
      <c r="AB310" s="720"/>
    </row>
    <row r="311" spans="1:28" ht="12.75" customHeight="1">
      <c r="A311" s="902"/>
      <c r="B311" s="903"/>
      <c r="C311" s="903"/>
      <c r="D311" s="903"/>
      <c r="E311" s="903"/>
      <c r="F311" s="903"/>
      <c r="G311" s="904"/>
      <c r="H311" s="903"/>
      <c r="I311" s="903"/>
      <c r="J311" s="903"/>
      <c r="K311" s="905"/>
      <c r="L311" s="903"/>
      <c r="M311" s="903"/>
      <c r="N311" s="903"/>
      <c r="O311" s="903"/>
      <c r="P311" s="903"/>
      <c r="Q311" s="720"/>
      <c r="R311" s="720"/>
      <c r="S311" s="720"/>
      <c r="T311" s="720"/>
      <c r="U311" s="720"/>
      <c r="V311" s="720"/>
      <c r="W311" s="720"/>
      <c r="X311" s="720"/>
      <c r="Y311" s="720"/>
      <c r="Z311" s="720"/>
      <c r="AA311" s="720"/>
      <c r="AB311" s="720"/>
    </row>
    <row r="312" spans="1:28" ht="12.75" customHeight="1">
      <c r="A312" s="902"/>
      <c r="B312" s="903"/>
      <c r="C312" s="903"/>
      <c r="D312" s="903"/>
      <c r="E312" s="903"/>
      <c r="F312" s="903"/>
      <c r="G312" s="904"/>
      <c r="H312" s="903"/>
      <c r="I312" s="903"/>
      <c r="J312" s="903"/>
      <c r="K312" s="905"/>
      <c r="L312" s="903"/>
      <c r="M312" s="903"/>
      <c r="N312" s="903"/>
      <c r="O312" s="903"/>
      <c r="P312" s="903"/>
      <c r="Q312" s="720"/>
      <c r="R312" s="720"/>
      <c r="S312" s="720"/>
      <c r="T312" s="720"/>
      <c r="U312" s="720"/>
      <c r="V312" s="720"/>
      <c r="W312" s="720"/>
      <c r="X312" s="720"/>
      <c r="Y312" s="720"/>
      <c r="Z312" s="720"/>
      <c r="AA312" s="720"/>
      <c r="AB312" s="720"/>
    </row>
    <row r="313" spans="1:28" ht="12.75" customHeight="1">
      <c r="A313" s="902"/>
      <c r="B313" s="903"/>
      <c r="C313" s="903"/>
      <c r="D313" s="903"/>
      <c r="E313" s="903"/>
      <c r="F313" s="903"/>
      <c r="G313" s="904"/>
      <c r="H313" s="903"/>
      <c r="I313" s="903"/>
      <c r="J313" s="903"/>
      <c r="K313" s="905"/>
      <c r="L313" s="903"/>
      <c r="M313" s="903"/>
      <c r="N313" s="903"/>
      <c r="O313" s="903"/>
      <c r="P313" s="903"/>
      <c r="Q313" s="720"/>
      <c r="R313" s="720"/>
      <c r="S313" s="720"/>
      <c r="T313" s="720"/>
      <c r="U313" s="720"/>
      <c r="V313" s="720"/>
      <c r="W313" s="720"/>
      <c r="X313" s="720"/>
      <c r="Y313" s="720"/>
      <c r="Z313" s="720"/>
      <c r="AA313" s="720"/>
      <c r="AB313" s="720"/>
    </row>
    <row r="314" spans="1:28" ht="12.75" customHeight="1">
      <c r="A314" s="902"/>
      <c r="B314" s="903"/>
      <c r="C314" s="903"/>
      <c r="D314" s="903"/>
      <c r="E314" s="903"/>
      <c r="F314" s="903"/>
      <c r="G314" s="904"/>
      <c r="H314" s="903"/>
      <c r="I314" s="903"/>
      <c r="J314" s="903"/>
      <c r="K314" s="905"/>
      <c r="L314" s="903"/>
      <c r="M314" s="903"/>
      <c r="N314" s="903"/>
      <c r="O314" s="903"/>
      <c r="P314" s="903"/>
      <c r="Q314" s="720"/>
      <c r="R314" s="720"/>
      <c r="S314" s="720"/>
      <c r="T314" s="720"/>
      <c r="U314" s="720"/>
      <c r="V314" s="720"/>
      <c r="W314" s="720"/>
      <c r="X314" s="720"/>
      <c r="Y314" s="720"/>
      <c r="Z314" s="720"/>
      <c r="AA314" s="720"/>
      <c r="AB314" s="720"/>
    </row>
    <row r="315" spans="1:28" ht="12.75" customHeight="1">
      <c r="A315" s="902"/>
      <c r="B315" s="903"/>
      <c r="C315" s="903"/>
      <c r="D315" s="903"/>
      <c r="E315" s="903"/>
      <c r="F315" s="903"/>
      <c r="G315" s="904"/>
      <c r="H315" s="903"/>
      <c r="I315" s="903"/>
      <c r="J315" s="903"/>
      <c r="K315" s="905"/>
      <c r="L315" s="903"/>
      <c r="M315" s="903"/>
      <c r="N315" s="903"/>
      <c r="O315" s="903"/>
      <c r="P315" s="903"/>
      <c r="Q315" s="720"/>
      <c r="R315" s="720"/>
      <c r="S315" s="720"/>
      <c r="T315" s="720"/>
      <c r="U315" s="720"/>
      <c r="V315" s="720"/>
      <c r="W315" s="720"/>
      <c r="X315" s="720"/>
      <c r="Y315" s="720"/>
      <c r="Z315" s="720"/>
      <c r="AA315" s="720"/>
      <c r="AB315" s="720"/>
    </row>
    <row r="316" spans="1:28" ht="12.75" customHeight="1">
      <c r="A316" s="902"/>
      <c r="B316" s="903"/>
      <c r="C316" s="903"/>
      <c r="D316" s="903"/>
      <c r="E316" s="903"/>
      <c r="F316" s="903"/>
      <c r="G316" s="904"/>
      <c r="H316" s="903"/>
      <c r="I316" s="903"/>
      <c r="J316" s="903"/>
      <c r="K316" s="905"/>
      <c r="L316" s="903"/>
      <c r="M316" s="903"/>
      <c r="N316" s="903"/>
      <c r="O316" s="903"/>
      <c r="P316" s="903"/>
      <c r="Q316" s="720"/>
      <c r="R316" s="720"/>
      <c r="S316" s="720"/>
      <c r="T316" s="720"/>
      <c r="U316" s="720"/>
      <c r="V316" s="720"/>
      <c r="W316" s="720"/>
      <c r="X316" s="720"/>
      <c r="Y316" s="720"/>
      <c r="Z316" s="720"/>
      <c r="AA316" s="720"/>
      <c r="AB316" s="720"/>
    </row>
    <row r="317" spans="1:28" ht="12.75" customHeight="1">
      <c r="A317" s="902"/>
      <c r="B317" s="903"/>
      <c r="C317" s="903"/>
      <c r="D317" s="903"/>
      <c r="E317" s="903"/>
      <c r="F317" s="903"/>
      <c r="G317" s="904"/>
      <c r="H317" s="903"/>
      <c r="I317" s="903"/>
      <c r="J317" s="903"/>
      <c r="K317" s="905"/>
      <c r="L317" s="903"/>
      <c r="M317" s="903"/>
      <c r="N317" s="903"/>
      <c r="O317" s="903"/>
      <c r="P317" s="903"/>
      <c r="Q317" s="720"/>
      <c r="R317" s="720"/>
      <c r="S317" s="720"/>
      <c r="T317" s="720"/>
      <c r="U317" s="720"/>
      <c r="V317" s="720"/>
      <c r="W317" s="720"/>
      <c r="X317" s="720"/>
      <c r="Y317" s="720"/>
      <c r="Z317" s="720"/>
      <c r="AA317" s="720"/>
      <c r="AB317" s="720"/>
    </row>
    <row r="318" spans="1:28" ht="12.75" customHeight="1">
      <c r="A318" s="902"/>
      <c r="B318" s="903"/>
      <c r="C318" s="903"/>
      <c r="D318" s="903"/>
      <c r="E318" s="903"/>
      <c r="F318" s="903"/>
      <c r="G318" s="904"/>
      <c r="H318" s="903"/>
      <c r="I318" s="903"/>
      <c r="J318" s="903"/>
      <c r="K318" s="905"/>
      <c r="L318" s="903"/>
      <c r="M318" s="903"/>
      <c r="N318" s="903"/>
      <c r="O318" s="903"/>
      <c r="P318" s="903"/>
      <c r="Q318" s="720"/>
      <c r="R318" s="720"/>
      <c r="S318" s="720"/>
      <c r="T318" s="720"/>
      <c r="U318" s="720"/>
      <c r="V318" s="720"/>
      <c r="W318" s="720"/>
      <c r="X318" s="720"/>
      <c r="Y318" s="720"/>
      <c r="Z318" s="720"/>
      <c r="AA318" s="720"/>
      <c r="AB318" s="720"/>
    </row>
    <row r="319" spans="1:28" ht="12.75" customHeight="1">
      <c r="A319" s="902"/>
      <c r="B319" s="903"/>
      <c r="C319" s="903"/>
      <c r="D319" s="903"/>
      <c r="E319" s="903"/>
      <c r="F319" s="903"/>
      <c r="G319" s="904"/>
      <c r="H319" s="903"/>
      <c r="I319" s="903"/>
      <c r="J319" s="903"/>
      <c r="K319" s="905"/>
      <c r="L319" s="903"/>
      <c r="M319" s="903"/>
      <c r="N319" s="903"/>
      <c r="O319" s="903"/>
      <c r="P319" s="903"/>
      <c r="Q319" s="720"/>
      <c r="R319" s="720"/>
      <c r="S319" s="720"/>
      <c r="T319" s="720"/>
      <c r="U319" s="720"/>
      <c r="V319" s="720"/>
      <c r="W319" s="720"/>
      <c r="X319" s="720"/>
      <c r="Y319" s="720"/>
      <c r="Z319" s="720"/>
      <c r="AA319" s="720"/>
      <c r="AB319" s="720"/>
    </row>
    <row r="320" spans="1:28" ht="12.75" customHeight="1">
      <c r="A320" s="902"/>
      <c r="B320" s="903"/>
      <c r="C320" s="903"/>
      <c r="D320" s="903"/>
      <c r="E320" s="903"/>
      <c r="F320" s="903"/>
      <c r="G320" s="904"/>
      <c r="H320" s="903"/>
      <c r="I320" s="903"/>
      <c r="J320" s="903"/>
      <c r="K320" s="905"/>
      <c r="L320" s="903"/>
      <c r="M320" s="903"/>
      <c r="N320" s="903"/>
      <c r="O320" s="903"/>
      <c r="P320" s="903"/>
      <c r="Q320" s="720"/>
      <c r="R320" s="720"/>
      <c r="S320" s="720"/>
      <c r="T320" s="720"/>
      <c r="U320" s="720"/>
      <c r="V320" s="720"/>
      <c r="W320" s="720"/>
      <c r="X320" s="720"/>
      <c r="Y320" s="720"/>
      <c r="Z320" s="720"/>
      <c r="AA320" s="720"/>
      <c r="AB320" s="720"/>
    </row>
    <row r="321" spans="1:28" ht="12.75" customHeight="1">
      <c r="A321" s="902"/>
      <c r="B321" s="903"/>
      <c r="C321" s="903"/>
      <c r="D321" s="903"/>
      <c r="E321" s="903"/>
      <c r="F321" s="903"/>
      <c r="G321" s="904"/>
      <c r="H321" s="903"/>
      <c r="I321" s="903"/>
      <c r="J321" s="903"/>
      <c r="K321" s="905"/>
      <c r="L321" s="903"/>
      <c r="M321" s="903"/>
      <c r="N321" s="903"/>
      <c r="O321" s="903"/>
      <c r="P321" s="903"/>
      <c r="Q321" s="720"/>
      <c r="R321" s="720"/>
      <c r="S321" s="720"/>
      <c r="T321" s="720"/>
      <c r="U321" s="720"/>
      <c r="V321" s="720"/>
      <c r="W321" s="720"/>
      <c r="X321" s="720"/>
      <c r="Y321" s="720"/>
      <c r="Z321" s="720"/>
      <c r="AA321" s="720"/>
      <c r="AB321" s="720"/>
    </row>
    <row r="322" spans="1:28" ht="12.75" customHeight="1">
      <c r="A322" s="902"/>
      <c r="B322" s="903"/>
      <c r="C322" s="903"/>
      <c r="D322" s="903"/>
      <c r="E322" s="903"/>
      <c r="F322" s="903"/>
      <c r="G322" s="904"/>
      <c r="H322" s="903"/>
      <c r="I322" s="903"/>
      <c r="J322" s="903"/>
      <c r="K322" s="905"/>
      <c r="L322" s="903"/>
      <c r="M322" s="903"/>
      <c r="N322" s="903"/>
      <c r="O322" s="903"/>
      <c r="P322" s="903"/>
      <c r="Q322" s="720"/>
      <c r="R322" s="720"/>
      <c r="S322" s="720"/>
      <c r="T322" s="720"/>
      <c r="U322" s="720"/>
      <c r="V322" s="720"/>
      <c r="W322" s="720"/>
      <c r="X322" s="720"/>
      <c r="Y322" s="720"/>
      <c r="Z322" s="720"/>
      <c r="AA322" s="720"/>
      <c r="AB322" s="720"/>
    </row>
    <row r="323" spans="1:28" ht="12.75" customHeight="1">
      <c r="A323" s="902"/>
      <c r="B323" s="903"/>
      <c r="C323" s="903"/>
      <c r="D323" s="903"/>
      <c r="E323" s="903"/>
      <c r="F323" s="903"/>
      <c r="G323" s="904"/>
      <c r="H323" s="903"/>
      <c r="I323" s="903"/>
      <c r="J323" s="903"/>
      <c r="K323" s="905"/>
      <c r="L323" s="903"/>
      <c r="M323" s="903"/>
      <c r="N323" s="903"/>
      <c r="O323" s="903"/>
      <c r="P323" s="903"/>
      <c r="Q323" s="720"/>
      <c r="R323" s="720"/>
      <c r="S323" s="720"/>
      <c r="T323" s="720"/>
      <c r="U323" s="720"/>
      <c r="V323" s="720"/>
      <c r="W323" s="720"/>
      <c r="X323" s="720"/>
      <c r="Y323" s="720"/>
      <c r="Z323" s="720"/>
      <c r="AA323" s="720"/>
      <c r="AB323" s="720"/>
    </row>
    <row r="324" spans="1:28" ht="12.75" customHeight="1">
      <c r="A324" s="902"/>
      <c r="B324" s="903"/>
      <c r="C324" s="903"/>
      <c r="D324" s="903"/>
      <c r="E324" s="903"/>
      <c r="F324" s="903"/>
      <c r="G324" s="904"/>
      <c r="H324" s="903"/>
      <c r="I324" s="903"/>
      <c r="J324" s="903"/>
      <c r="K324" s="905"/>
      <c r="L324" s="903"/>
      <c r="M324" s="903"/>
      <c r="N324" s="903"/>
      <c r="O324" s="903"/>
      <c r="P324" s="903"/>
      <c r="Q324" s="720"/>
      <c r="R324" s="720"/>
      <c r="S324" s="720"/>
      <c r="T324" s="720"/>
      <c r="U324" s="720"/>
      <c r="V324" s="720"/>
      <c r="W324" s="720"/>
      <c r="X324" s="720"/>
      <c r="Y324" s="720"/>
      <c r="Z324" s="720"/>
      <c r="AA324" s="720"/>
      <c r="AB324" s="720"/>
    </row>
    <row r="325" spans="1:28" ht="12.75" customHeight="1">
      <c r="A325" s="902"/>
      <c r="B325" s="903"/>
      <c r="C325" s="903"/>
      <c r="D325" s="903"/>
      <c r="E325" s="903"/>
      <c r="F325" s="903"/>
      <c r="G325" s="904"/>
      <c r="H325" s="903"/>
      <c r="I325" s="903"/>
      <c r="J325" s="903"/>
      <c r="K325" s="905"/>
      <c r="L325" s="903"/>
      <c r="M325" s="903"/>
      <c r="N325" s="903"/>
      <c r="O325" s="903"/>
      <c r="P325" s="903"/>
      <c r="Q325" s="720"/>
      <c r="R325" s="720"/>
      <c r="S325" s="720"/>
      <c r="T325" s="720"/>
      <c r="U325" s="720"/>
      <c r="V325" s="720"/>
      <c r="W325" s="720"/>
      <c r="X325" s="720"/>
      <c r="Y325" s="720"/>
      <c r="Z325" s="720"/>
      <c r="AA325" s="720"/>
      <c r="AB325" s="720"/>
    </row>
    <row r="326" spans="1:28" ht="12.75" customHeight="1">
      <c r="A326" s="902"/>
      <c r="B326" s="903"/>
      <c r="C326" s="903"/>
      <c r="D326" s="903"/>
      <c r="E326" s="903"/>
      <c r="F326" s="903"/>
      <c r="G326" s="904"/>
      <c r="H326" s="903"/>
      <c r="I326" s="903"/>
      <c r="J326" s="903"/>
      <c r="K326" s="905"/>
      <c r="L326" s="903"/>
      <c r="M326" s="903"/>
      <c r="N326" s="903"/>
      <c r="O326" s="903"/>
      <c r="P326" s="903"/>
      <c r="Q326" s="720"/>
      <c r="R326" s="720"/>
      <c r="S326" s="720"/>
      <c r="T326" s="720"/>
      <c r="U326" s="720"/>
      <c r="V326" s="720"/>
      <c r="W326" s="720"/>
      <c r="X326" s="720"/>
      <c r="Y326" s="720"/>
      <c r="Z326" s="720"/>
      <c r="AA326" s="720"/>
      <c r="AB326" s="720"/>
    </row>
    <row r="327" spans="1:28" ht="12.75" customHeight="1">
      <c r="A327" s="902"/>
      <c r="B327" s="903"/>
      <c r="C327" s="903"/>
      <c r="D327" s="903"/>
      <c r="E327" s="903"/>
      <c r="F327" s="903"/>
      <c r="G327" s="904"/>
      <c r="H327" s="903"/>
      <c r="I327" s="903"/>
      <c r="J327" s="903"/>
      <c r="K327" s="905"/>
      <c r="L327" s="903"/>
      <c r="M327" s="903"/>
      <c r="N327" s="903"/>
      <c r="O327" s="903"/>
      <c r="P327" s="903"/>
      <c r="Q327" s="720"/>
      <c r="R327" s="720"/>
      <c r="S327" s="720"/>
      <c r="T327" s="720"/>
      <c r="U327" s="720"/>
      <c r="V327" s="720"/>
      <c r="W327" s="720"/>
      <c r="X327" s="720"/>
      <c r="Y327" s="720"/>
      <c r="Z327" s="720"/>
      <c r="AA327" s="720"/>
      <c r="AB327" s="720"/>
    </row>
    <row r="328" spans="1:28" ht="12.75" customHeight="1">
      <c r="A328" s="902"/>
      <c r="B328" s="903"/>
      <c r="C328" s="903"/>
      <c r="D328" s="903"/>
      <c r="E328" s="903"/>
      <c r="F328" s="903"/>
      <c r="G328" s="904"/>
      <c r="H328" s="903"/>
      <c r="I328" s="903"/>
      <c r="J328" s="903"/>
      <c r="K328" s="905"/>
      <c r="L328" s="903"/>
      <c r="M328" s="903"/>
      <c r="N328" s="903"/>
      <c r="O328" s="903"/>
      <c r="P328" s="903"/>
      <c r="Q328" s="720"/>
      <c r="R328" s="720"/>
      <c r="S328" s="720"/>
      <c r="T328" s="720"/>
      <c r="U328" s="720"/>
      <c r="V328" s="720"/>
      <c r="W328" s="720"/>
      <c r="X328" s="720"/>
      <c r="Y328" s="720"/>
      <c r="Z328" s="720"/>
      <c r="AA328" s="720"/>
      <c r="AB328" s="720"/>
    </row>
    <row r="329" spans="1:28" ht="12.75" customHeight="1">
      <c r="A329" s="902"/>
      <c r="B329" s="903"/>
      <c r="C329" s="903"/>
      <c r="D329" s="903"/>
      <c r="E329" s="903"/>
      <c r="F329" s="903"/>
      <c r="G329" s="904"/>
      <c r="H329" s="903"/>
      <c r="I329" s="903"/>
      <c r="J329" s="903"/>
      <c r="K329" s="905"/>
      <c r="L329" s="903"/>
      <c r="M329" s="903"/>
      <c r="N329" s="903"/>
      <c r="O329" s="903"/>
      <c r="P329" s="903"/>
      <c r="Q329" s="720"/>
      <c r="R329" s="720"/>
      <c r="S329" s="720"/>
      <c r="T329" s="720"/>
      <c r="U329" s="720"/>
      <c r="V329" s="720"/>
      <c r="W329" s="720"/>
      <c r="X329" s="720"/>
      <c r="Y329" s="720"/>
      <c r="Z329" s="720"/>
      <c r="AA329" s="720"/>
      <c r="AB329" s="720"/>
    </row>
    <row r="330" spans="1:28" ht="12.75" customHeight="1">
      <c r="A330" s="902"/>
      <c r="B330" s="903"/>
      <c r="C330" s="903"/>
      <c r="D330" s="903"/>
      <c r="E330" s="903"/>
      <c r="F330" s="903"/>
      <c r="G330" s="904"/>
      <c r="H330" s="903"/>
      <c r="I330" s="903"/>
      <c r="J330" s="903"/>
      <c r="K330" s="905"/>
      <c r="L330" s="903"/>
      <c r="M330" s="903"/>
      <c r="N330" s="903"/>
      <c r="O330" s="903"/>
      <c r="P330" s="903"/>
      <c r="Q330" s="720"/>
      <c r="R330" s="720"/>
      <c r="S330" s="720"/>
      <c r="T330" s="720"/>
      <c r="U330" s="720"/>
      <c r="V330" s="720"/>
      <c r="W330" s="720"/>
      <c r="X330" s="720"/>
      <c r="Y330" s="720"/>
      <c r="Z330" s="720"/>
      <c r="AA330" s="720"/>
      <c r="AB330" s="720"/>
    </row>
    <row r="331" spans="1:28" ht="12.75" customHeight="1">
      <c r="A331" s="902"/>
      <c r="B331" s="903"/>
      <c r="C331" s="903"/>
      <c r="D331" s="903"/>
      <c r="E331" s="903"/>
      <c r="F331" s="903"/>
      <c r="G331" s="904"/>
      <c r="H331" s="903"/>
      <c r="I331" s="903"/>
      <c r="J331" s="903"/>
      <c r="K331" s="905"/>
      <c r="L331" s="903"/>
      <c r="M331" s="903"/>
      <c r="N331" s="903"/>
      <c r="O331" s="903"/>
      <c r="P331" s="903"/>
      <c r="Q331" s="720"/>
      <c r="R331" s="720"/>
      <c r="S331" s="720"/>
      <c r="T331" s="720"/>
      <c r="U331" s="720"/>
      <c r="V331" s="720"/>
      <c r="W331" s="720"/>
      <c r="X331" s="720"/>
      <c r="Y331" s="720"/>
      <c r="Z331" s="720"/>
      <c r="AA331" s="720"/>
      <c r="AB331" s="720"/>
    </row>
    <row r="332" spans="1:28" ht="12.75" customHeight="1">
      <c r="A332" s="902"/>
      <c r="B332" s="903"/>
      <c r="C332" s="903"/>
      <c r="D332" s="903"/>
      <c r="E332" s="903"/>
      <c r="F332" s="903"/>
      <c r="G332" s="904"/>
      <c r="H332" s="903"/>
      <c r="I332" s="903"/>
      <c r="J332" s="903"/>
      <c r="K332" s="905"/>
      <c r="L332" s="903"/>
      <c r="M332" s="903"/>
      <c r="N332" s="903"/>
      <c r="O332" s="903"/>
      <c r="P332" s="903"/>
      <c r="Q332" s="720"/>
      <c r="R332" s="720"/>
      <c r="S332" s="720"/>
      <c r="T332" s="720"/>
      <c r="U332" s="720"/>
      <c r="V332" s="720"/>
      <c r="W332" s="720"/>
      <c r="X332" s="720"/>
      <c r="Y332" s="720"/>
      <c r="Z332" s="720"/>
      <c r="AA332" s="720"/>
      <c r="AB332" s="720"/>
    </row>
    <row r="333" spans="1:28" ht="12.75" customHeight="1">
      <c r="A333" s="902"/>
      <c r="B333" s="903"/>
      <c r="C333" s="903"/>
      <c r="D333" s="903"/>
      <c r="E333" s="903"/>
      <c r="F333" s="903"/>
      <c r="G333" s="904"/>
      <c r="H333" s="903"/>
      <c r="I333" s="903"/>
      <c r="J333" s="903"/>
      <c r="K333" s="905"/>
      <c r="L333" s="903"/>
      <c r="M333" s="903"/>
      <c r="N333" s="903"/>
      <c r="O333" s="903"/>
      <c r="P333" s="903"/>
      <c r="Q333" s="720"/>
      <c r="R333" s="720"/>
      <c r="S333" s="720"/>
      <c r="T333" s="720"/>
      <c r="U333" s="720"/>
      <c r="V333" s="720"/>
      <c r="W333" s="720"/>
      <c r="X333" s="720"/>
      <c r="Y333" s="720"/>
      <c r="Z333" s="720"/>
      <c r="AA333" s="720"/>
      <c r="AB333" s="720"/>
    </row>
    <row r="334" spans="1:28" ht="12.75" customHeight="1">
      <c r="A334" s="902"/>
      <c r="B334" s="903"/>
      <c r="C334" s="903"/>
      <c r="D334" s="903"/>
      <c r="E334" s="903"/>
      <c r="F334" s="903"/>
      <c r="G334" s="904"/>
      <c r="H334" s="903"/>
      <c r="I334" s="903"/>
      <c r="J334" s="903"/>
      <c r="K334" s="905"/>
      <c r="L334" s="903"/>
      <c r="M334" s="903"/>
      <c r="N334" s="903"/>
      <c r="O334" s="903"/>
      <c r="P334" s="903"/>
      <c r="Q334" s="720"/>
      <c r="R334" s="720"/>
      <c r="S334" s="720"/>
      <c r="T334" s="720"/>
      <c r="U334" s="720"/>
      <c r="V334" s="720"/>
      <c r="W334" s="720"/>
      <c r="X334" s="720"/>
      <c r="Y334" s="720"/>
      <c r="Z334" s="720"/>
      <c r="AA334" s="720"/>
      <c r="AB334" s="720"/>
    </row>
    <row r="335" spans="1:28" ht="12.75" customHeight="1">
      <c r="A335" s="902"/>
      <c r="B335" s="903"/>
      <c r="C335" s="903"/>
      <c r="D335" s="903"/>
      <c r="E335" s="903"/>
      <c r="F335" s="903"/>
      <c r="G335" s="904"/>
      <c r="H335" s="903"/>
      <c r="I335" s="903"/>
      <c r="J335" s="903"/>
      <c r="K335" s="905"/>
      <c r="L335" s="903"/>
      <c r="M335" s="903"/>
      <c r="N335" s="903"/>
      <c r="O335" s="903"/>
      <c r="P335" s="903"/>
      <c r="Q335" s="720"/>
      <c r="R335" s="720"/>
      <c r="S335" s="720"/>
      <c r="T335" s="720"/>
      <c r="U335" s="720"/>
      <c r="V335" s="720"/>
      <c r="W335" s="720"/>
      <c r="X335" s="720"/>
      <c r="Y335" s="720"/>
      <c r="Z335" s="720"/>
      <c r="AA335" s="720"/>
      <c r="AB335" s="720"/>
    </row>
    <row r="336" spans="1:28" ht="12.75" customHeight="1">
      <c r="A336" s="902"/>
      <c r="B336" s="903"/>
      <c r="C336" s="720"/>
      <c r="D336" s="720"/>
      <c r="E336" s="720"/>
      <c r="F336" s="720"/>
      <c r="G336" s="906"/>
      <c r="H336" s="720"/>
      <c r="I336" s="720"/>
      <c r="J336" s="720"/>
      <c r="K336" s="907"/>
      <c r="L336" s="720"/>
      <c r="M336" s="720"/>
      <c r="N336" s="720"/>
      <c r="O336" s="720"/>
      <c r="P336" s="720"/>
      <c r="Q336" s="720"/>
      <c r="R336" s="720"/>
      <c r="S336" s="720"/>
      <c r="T336" s="720"/>
      <c r="U336" s="720"/>
      <c r="V336" s="720"/>
      <c r="W336" s="720"/>
      <c r="X336" s="720"/>
      <c r="Y336" s="720"/>
      <c r="Z336" s="720"/>
      <c r="AA336" s="720"/>
      <c r="AB336" s="720"/>
    </row>
    <row r="337" spans="1:28" ht="12.75" customHeight="1">
      <c r="A337" s="902"/>
      <c r="B337" s="903"/>
      <c r="C337" s="720"/>
      <c r="D337" s="720"/>
      <c r="E337" s="720"/>
      <c r="F337" s="720"/>
      <c r="G337" s="906"/>
      <c r="H337" s="720"/>
      <c r="I337" s="720"/>
      <c r="J337" s="720"/>
      <c r="K337" s="907"/>
      <c r="L337" s="720"/>
      <c r="M337" s="720"/>
      <c r="N337" s="720"/>
      <c r="O337" s="720"/>
      <c r="P337" s="720"/>
      <c r="Q337" s="720"/>
      <c r="R337" s="720"/>
      <c r="S337" s="720"/>
      <c r="T337" s="720"/>
      <c r="U337" s="720"/>
      <c r="V337" s="720"/>
      <c r="W337" s="720"/>
      <c r="X337" s="720"/>
      <c r="Y337" s="720"/>
      <c r="Z337" s="720"/>
      <c r="AA337" s="720"/>
      <c r="AB337" s="720"/>
    </row>
    <row r="338" spans="1:28" ht="12.75" customHeight="1">
      <c r="A338" s="902"/>
      <c r="B338" s="903"/>
      <c r="C338" s="720"/>
      <c r="D338" s="720"/>
      <c r="E338" s="720"/>
      <c r="F338" s="720"/>
      <c r="G338" s="906"/>
      <c r="H338" s="720"/>
      <c r="I338" s="720"/>
      <c r="J338" s="720"/>
      <c r="K338" s="907"/>
      <c r="L338" s="720"/>
      <c r="M338" s="720"/>
      <c r="N338" s="720"/>
      <c r="O338" s="720"/>
      <c r="P338" s="720"/>
      <c r="Q338" s="720"/>
      <c r="R338" s="720"/>
      <c r="S338" s="720"/>
      <c r="T338" s="720"/>
      <c r="U338" s="720"/>
      <c r="V338" s="720"/>
      <c r="W338" s="720"/>
      <c r="X338" s="720"/>
      <c r="Y338" s="720"/>
      <c r="Z338" s="720"/>
      <c r="AA338" s="720"/>
      <c r="AB338" s="720"/>
    </row>
    <row r="339" spans="1:28" ht="12.75" customHeight="1">
      <c r="A339" s="902"/>
      <c r="B339" s="903"/>
      <c r="C339" s="720"/>
      <c r="D339" s="720"/>
      <c r="E339" s="720"/>
      <c r="F339" s="720"/>
      <c r="G339" s="906"/>
      <c r="H339" s="720"/>
      <c r="I339" s="720"/>
      <c r="J339" s="720"/>
      <c r="K339" s="907"/>
      <c r="L339" s="720"/>
      <c r="M339" s="720"/>
      <c r="N339" s="720"/>
      <c r="O339" s="720"/>
      <c r="P339" s="720"/>
      <c r="Q339" s="720"/>
      <c r="R339" s="720"/>
      <c r="S339" s="720"/>
      <c r="T339" s="720"/>
      <c r="U339" s="720"/>
      <c r="V339" s="720"/>
      <c r="W339" s="720"/>
      <c r="X339" s="720"/>
      <c r="Y339" s="720"/>
      <c r="Z339" s="720"/>
      <c r="AA339" s="720"/>
      <c r="AB339" s="720"/>
    </row>
    <row r="340" spans="1:28" ht="12.75" customHeight="1">
      <c r="A340" s="902"/>
      <c r="B340" s="903"/>
      <c r="C340" s="720"/>
      <c r="D340" s="720"/>
      <c r="E340" s="720"/>
      <c r="F340" s="720"/>
      <c r="G340" s="906"/>
      <c r="H340" s="720"/>
      <c r="I340" s="720"/>
      <c r="J340" s="720"/>
      <c r="K340" s="907"/>
      <c r="L340" s="720"/>
      <c r="M340" s="720"/>
      <c r="N340" s="720"/>
      <c r="O340" s="720"/>
      <c r="P340" s="720"/>
      <c r="Q340" s="720"/>
      <c r="R340" s="720"/>
      <c r="S340" s="720"/>
      <c r="T340" s="720"/>
      <c r="U340" s="720"/>
      <c r="V340" s="720"/>
      <c r="W340" s="720"/>
      <c r="X340" s="720"/>
      <c r="Y340" s="720"/>
      <c r="Z340" s="720"/>
      <c r="AA340" s="720"/>
      <c r="AB340" s="720"/>
    </row>
    <row r="341" spans="1:28" ht="12.75" customHeight="1">
      <c r="A341" s="902"/>
      <c r="B341" s="903"/>
      <c r="C341" s="720"/>
      <c r="D341" s="720"/>
      <c r="E341" s="720"/>
      <c r="F341" s="720"/>
      <c r="G341" s="906"/>
      <c r="H341" s="720"/>
      <c r="I341" s="720"/>
      <c r="J341" s="720"/>
      <c r="K341" s="907"/>
      <c r="L341" s="720"/>
      <c r="M341" s="720"/>
      <c r="N341" s="720"/>
      <c r="O341" s="720"/>
      <c r="P341" s="720"/>
      <c r="Q341" s="720"/>
      <c r="R341" s="720"/>
      <c r="S341" s="720"/>
      <c r="T341" s="720"/>
      <c r="U341" s="720"/>
      <c r="V341" s="720"/>
      <c r="W341" s="720"/>
      <c r="X341" s="720"/>
      <c r="Y341" s="720"/>
      <c r="Z341" s="720"/>
      <c r="AA341" s="720"/>
      <c r="AB341" s="720"/>
    </row>
    <row r="342" spans="1:28" ht="12.75" customHeight="1">
      <c r="A342" s="902"/>
      <c r="B342" s="903"/>
      <c r="C342" s="720"/>
      <c r="D342" s="720"/>
      <c r="E342" s="720"/>
      <c r="F342" s="720"/>
      <c r="G342" s="906"/>
      <c r="H342" s="720"/>
      <c r="I342" s="720"/>
      <c r="J342" s="720"/>
      <c r="K342" s="907"/>
      <c r="L342" s="720"/>
      <c r="M342" s="720"/>
      <c r="N342" s="720"/>
      <c r="O342" s="720"/>
      <c r="P342" s="720"/>
      <c r="Q342" s="720"/>
      <c r="R342" s="720"/>
      <c r="S342" s="720"/>
      <c r="T342" s="720"/>
      <c r="U342" s="720"/>
      <c r="V342" s="720"/>
      <c r="W342" s="720"/>
      <c r="X342" s="720"/>
      <c r="Y342" s="720"/>
      <c r="Z342" s="720"/>
      <c r="AA342" s="720"/>
      <c r="AB342" s="720"/>
    </row>
    <row r="343" spans="1:28" ht="12.75" customHeight="1">
      <c r="A343" s="902"/>
      <c r="B343" s="903"/>
      <c r="C343" s="720"/>
      <c r="D343" s="720"/>
      <c r="E343" s="720"/>
      <c r="F343" s="720"/>
      <c r="G343" s="906"/>
      <c r="H343" s="720"/>
      <c r="I343" s="720"/>
      <c r="J343" s="720"/>
      <c r="K343" s="907"/>
      <c r="L343" s="720"/>
      <c r="M343" s="720"/>
      <c r="N343" s="720"/>
      <c r="O343" s="720"/>
      <c r="P343" s="720"/>
      <c r="Q343" s="720"/>
      <c r="R343" s="720"/>
      <c r="S343" s="720"/>
      <c r="T343" s="720"/>
      <c r="U343" s="720"/>
      <c r="V343" s="720"/>
      <c r="W343" s="720"/>
      <c r="X343" s="720"/>
      <c r="Y343" s="720"/>
      <c r="Z343" s="720"/>
      <c r="AA343" s="720"/>
      <c r="AB343" s="720"/>
    </row>
    <row r="344" spans="1:28" ht="12.75" customHeight="1">
      <c r="A344" s="902"/>
      <c r="B344" s="903"/>
      <c r="C344" s="720"/>
      <c r="D344" s="720"/>
      <c r="E344" s="720"/>
      <c r="F344" s="720"/>
      <c r="G344" s="906"/>
      <c r="H344" s="720"/>
      <c r="I344" s="720"/>
      <c r="J344" s="720"/>
      <c r="K344" s="907"/>
      <c r="L344" s="720"/>
      <c r="M344" s="720"/>
      <c r="N344" s="720"/>
      <c r="O344" s="720"/>
      <c r="P344" s="720"/>
      <c r="Q344" s="720"/>
      <c r="R344" s="720"/>
      <c r="S344" s="720"/>
      <c r="T344" s="720"/>
      <c r="U344" s="720"/>
      <c r="V344" s="720"/>
      <c r="W344" s="720"/>
      <c r="X344" s="720"/>
      <c r="Y344" s="720"/>
      <c r="Z344" s="720"/>
      <c r="AA344" s="720"/>
      <c r="AB344" s="720"/>
    </row>
    <row r="345" spans="1:28" ht="12.75" customHeight="1">
      <c r="A345" s="902"/>
      <c r="B345" s="903"/>
      <c r="C345" s="720"/>
      <c r="D345" s="720"/>
      <c r="E345" s="720"/>
      <c r="F345" s="720"/>
      <c r="G345" s="906"/>
      <c r="H345" s="720"/>
      <c r="I345" s="720"/>
      <c r="J345" s="720"/>
      <c r="K345" s="907"/>
      <c r="L345" s="720"/>
      <c r="M345" s="720"/>
      <c r="N345" s="720"/>
      <c r="O345" s="720"/>
      <c r="P345" s="720"/>
      <c r="Q345" s="720"/>
      <c r="R345" s="720"/>
      <c r="S345" s="720"/>
      <c r="T345" s="720"/>
      <c r="U345" s="720"/>
      <c r="V345" s="720"/>
      <c r="W345" s="720"/>
      <c r="X345" s="720"/>
      <c r="Y345" s="720"/>
      <c r="Z345" s="720"/>
      <c r="AA345" s="720"/>
      <c r="AB345" s="720"/>
    </row>
    <row r="346" spans="1:28" ht="12.75" customHeight="1">
      <c r="A346" s="902"/>
      <c r="B346" s="903"/>
      <c r="C346" s="720"/>
      <c r="D346" s="720"/>
      <c r="E346" s="720"/>
      <c r="F346" s="720"/>
      <c r="G346" s="906"/>
      <c r="H346" s="720"/>
      <c r="I346" s="720"/>
      <c r="J346" s="720"/>
      <c r="K346" s="907"/>
      <c r="L346" s="720"/>
      <c r="M346" s="720"/>
      <c r="N346" s="720"/>
      <c r="O346" s="720"/>
      <c r="P346" s="720"/>
      <c r="Q346" s="720"/>
      <c r="R346" s="720"/>
      <c r="S346" s="720"/>
      <c r="T346" s="720"/>
      <c r="U346" s="720"/>
      <c r="V346" s="720"/>
      <c r="W346" s="720"/>
      <c r="X346" s="720"/>
      <c r="Y346" s="720"/>
      <c r="Z346" s="720"/>
      <c r="AA346" s="720"/>
      <c r="AB346" s="720"/>
    </row>
    <row r="347" spans="1:28" ht="12.75" customHeight="1">
      <c r="A347" s="902"/>
      <c r="B347" s="903"/>
      <c r="C347" s="720"/>
      <c r="D347" s="720"/>
      <c r="E347" s="720"/>
      <c r="F347" s="720"/>
      <c r="G347" s="906"/>
      <c r="H347" s="720"/>
      <c r="I347" s="720"/>
      <c r="J347" s="720"/>
      <c r="K347" s="907"/>
      <c r="L347" s="720"/>
      <c r="M347" s="720"/>
      <c r="N347" s="720"/>
      <c r="O347" s="720"/>
      <c r="P347" s="720"/>
      <c r="Q347" s="720"/>
      <c r="R347" s="720"/>
      <c r="S347" s="720"/>
      <c r="T347" s="720"/>
      <c r="U347" s="720"/>
      <c r="V347" s="720"/>
      <c r="W347" s="720"/>
      <c r="X347" s="720"/>
      <c r="Y347" s="720"/>
      <c r="Z347" s="720"/>
      <c r="AA347" s="720"/>
      <c r="AB347" s="720"/>
    </row>
    <row r="348" spans="1:28" ht="12.75" customHeight="1">
      <c r="A348" s="902"/>
      <c r="B348" s="903"/>
      <c r="C348" s="720"/>
      <c r="D348" s="720"/>
      <c r="E348" s="720"/>
      <c r="F348" s="720"/>
      <c r="G348" s="906"/>
      <c r="H348" s="720"/>
      <c r="I348" s="720"/>
      <c r="J348" s="720"/>
      <c r="K348" s="907"/>
      <c r="L348" s="720"/>
      <c r="M348" s="720"/>
      <c r="N348" s="720"/>
      <c r="O348" s="720"/>
      <c r="P348" s="720"/>
      <c r="Q348" s="720"/>
      <c r="R348" s="720"/>
      <c r="S348" s="720"/>
      <c r="T348" s="720"/>
      <c r="U348" s="720"/>
      <c r="V348" s="720"/>
      <c r="W348" s="720"/>
      <c r="X348" s="720"/>
      <c r="Y348" s="720"/>
      <c r="Z348" s="720"/>
      <c r="AA348" s="720"/>
      <c r="AB348" s="720"/>
    </row>
    <row r="349" spans="1:28" ht="12.75" customHeight="1">
      <c r="A349" s="902"/>
      <c r="B349" s="903"/>
      <c r="C349" s="720"/>
      <c r="D349" s="720"/>
      <c r="E349" s="720"/>
      <c r="F349" s="720"/>
      <c r="G349" s="906"/>
      <c r="H349" s="720"/>
      <c r="I349" s="720"/>
      <c r="J349" s="720"/>
      <c r="K349" s="907"/>
      <c r="L349" s="720"/>
      <c r="M349" s="720"/>
      <c r="N349" s="720"/>
      <c r="O349" s="720"/>
      <c r="P349" s="720"/>
      <c r="Q349" s="720"/>
      <c r="R349" s="720"/>
      <c r="S349" s="720"/>
      <c r="T349" s="720"/>
      <c r="U349" s="720"/>
      <c r="V349" s="720"/>
      <c r="W349" s="720"/>
      <c r="X349" s="720"/>
      <c r="Y349" s="720"/>
      <c r="Z349" s="720"/>
      <c r="AA349" s="720"/>
      <c r="AB349" s="720"/>
    </row>
    <row r="350" spans="1:28" ht="12.75" customHeight="1">
      <c r="A350" s="902"/>
      <c r="B350" s="903"/>
      <c r="C350" s="720"/>
      <c r="D350" s="720"/>
      <c r="E350" s="720"/>
      <c r="F350" s="720"/>
      <c r="G350" s="906"/>
      <c r="H350" s="720"/>
      <c r="I350" s="720"/>
      <c r="J350" s="720"/>
      <c r="K350" s="907"/>
      <c r="L350" s="720"/>
      <c r="M350" s="720"/>
      <c r="N350" s="720"/>
      <c r="O350" s="720"/>
      <c r="P350" s="720"/>
      <c r="Q350" s="720"/>
      <c r="R350" s="720"/>
      <c r="S350" s="720"/>
      <c r="T350" s="720"/>
      <c r="U350" s="720"/>
      <c r="V350" s="720"/>
      <c r="W350" s="720"/>
      <c r="X350" s="720"/>
      <c r="Y350" s="720"/>
      <c r="Z350" s="720"/>
      <c r="AA350" s="720"/>
      <c r="AB350" s="720"/>
    </row>
    <row r="351" spans="1:28" ht="12.75" customHeight="1">
      <c r="A351" s="902"/>
      <c r="B351" s="903"/>
      <c r="C351" s="720"/>
      <c r="D351" s="720"/>
      <c r="E351" s="720"/>
      <c r="F351" s="720"/>
      <c r="G351" s="906"/>
      <c r="H351" s="720"/>
      <c r="I351" s="720"/>
      <c r="J351" s="720"/>
      <c r="K351" s="907"/>
      <c r="L351" s="720"/>
      <c r="M351" s="720"/>
      <c r="N351" s="720"/>
      <c r="O351" s="720"/>
      <c r="P351" s="720"/>
      <c r="Q351" s="720"/>
      <c r="R351" s="720"/>
      <c r="S351" s="720"/>
      <c r="T351" s="720"/>
      <c r="U351" s="720"/>
      <c r="V351" s="720"/>
      <c r="W351" s="720"/>
      <c r="X351" s="720"/>
      <c r="Y351" s="720"/>
      <c r="Z351" s="720"/>
      <c r="AA351" s="720"/>
      <c r="AB351" s="720"/>
    </row>
    <row r="352" spans="1:28" ht="12.75" customHeight="1">
      <c r="A352" s="902"/>
      <c r="B352" s="903"/>
      <c r="C352" s="720"/>
      <c r="D352" s="720"/>
      <c r="E352" s="720"/>
      <c r="F352" s="720"/>
      <c r="G352" s="906"/>
      <c r="H352" s="720"/>
      <c r="I352" s="720"/>
      <c r="J352" s="720"/>
      <c r="K352" s="907"/>
      <c r="L352" s="720"/>
      <c r="M352" s="720"/>
      <c r="N352" s="720"/>
      <c r="O352" s="720"/>
      <c r="P352" s="720"/>
      <c r="Q352" s="720"/>
      <c r="R352" s="720"/>
      <c r="S352" s="720"/>
      <c r="T352" s="720"/>
      <c r="U352" s="720"/>
      <c r="V352" s="720"/>
      <c r="W352" s="720"/>
      <c r="X352" s="720"/>
      <c r="Y352" s="720"/>
      <c r="Z352" s="720"/>
      <c r="AA352" s="720"/>
      <c r="AB352" s="720"/>
    </row>
    <row r="353" spans="1:28" ht="12.75" customHeight="1">
      <c r="A353" s="902"/>
      <c r="B353" s="903"/>
      <c r="C353" s="720"/>
      <c r="D353" s="720"/>
      <c r="E353" s="720"/>
      <c r="F353" s="720"/>
      <c r="G353" s="906"/>
      <c r="H353" s="720"/>
      <c r="I353" s="720"/>
      <c r="J353" s="720"/>
      <c r="K353" s="907"/>
      <c r="L353" s="720"/>
      <c r="M353" s="720"/>
      <c r="N353" s="720"/>
      <c r="O353" s="720"/>
      <c r="P353" s="720"/>
      <c r="Q353" s="720"/>
      <c r="R353" s="720"/>
      <c r="S353" s="720"/>
      <c r="T353" s="720"/>
      <c r="U353" s="720"/>
      <c r="V353" s="720"/>
      <c r="W353" s="720"/>
      <c r="X353" s="720"/>
      <c r="Y353" s="720"/>
      <c r="Z353" s="720"/>
      <c r="AA353" s="720"/>
      <c r="AB353" s="720"/>
    </row>
    <row r="354" spans="1:28" ht="12.75" customHeight="1">
      <c r="A354" s="902"/>
      <c r="B354" s="903"/>
      <c r="C354" s="720"/>
      <c r="D354" s="720"/>
      <c r="E354" s="720"/>
      <c r="F354" s="720"/>
      <c r="G354" s="906"/>
      <c r="H354" s="720"/>
      <c r="I354" s="720"/>
      <c r="J354" s="720"/>
      <c r="K354" s="907"/>
      <c r="L354" s="720"/>
      <c r="M354" s="720"/>
      <c r="N354" s="720"/>
      <c r="O354" s="720"/>
      <c r="P354" s="720"/>
      <c r="Q354" s="720"/>
      <c r="R354" s="720"/>
      <c r="S354" s="720"/>
      <c r="T354" s="720"/>
      <c r="U354" s="720"/>
      <c r="V354" s="720"/>
      <c r="W354" s="720"/>
      <c r="X354" s="720"/>
      <c r="Y354" s="720"/>
      <c r="Z354" s="720"/>
      <c r="AA354" s="720"/>
      <c r="AB354" s="720"/>
    </row>
    <row r="355" spans="1:28" ht="12.75" customHeight="1">
      <c r="A355" s="902"/>
      <c r="B355" s="903"/>
      <c r="C355" s="720"/>
      <c r="D355" s="720"/>
      <c r="E355" s="720"/>
      <c r="F355" s="720"/>
      <c r="G355" s="906"/>
      <c r="H355" s="720"/>
      <c r="I355" s="720"/>
      <c r="J355" s="720"/>
      <c r="K355" s="907"/>
      <c r="L355" s="720"/>
      <c r="M355" s="720"/>
      <c r="N355" s="720"/>
      <c r="O355" s="720"/>
      <c r="P355" s="720"/>
      <c r="Q355" s="720"/>
      <c r="R355" s="720"/>
      <c r="S355" s="720"/>
      <c r="T355" s="720"/>
      <c r="U355" s="720"/>
      <c r="V355" s="720"/>
      <c r="W355" s="720"/>
      <c r="X355" s="720"/>
      <c r="Y355" s="720"/>
      <c r="Z355" s="720"/>
      <c r="AA355" s="720"/>
      <c r="AB355" s="720"/>
    </row>
    <row r="356" spans="1:28" ht="12.75" customHeight="1">
      <c r="A356" s="902"/>
      <c r="B356" s="903"/>
      <c r="C356" s="720"/>
      <c r="D356" s="720"/>
      <c r="E356" s="720"/>
      <c r="F356" s="720"/>
      <c r="G356" s="906"/>
      <c r="H356" s="720"/>
      <c r="I356" s="720"/>
      <c r="J356" s="720"/>
      <c r="K356" s="907"/>
      <c r="L356" s="720"/>
      <c r="M356" s="720"/>
      <c r="N356" s="720"/>
      <c r="O356" s="720"/>
      <c r="P356" s="720"/>
      <c r="Q356" s="720"/>
      <c r="R356" s="720"/>
      <c r="S356" s="720"/>
      <c r="T356" s="720"/>
      <c r="U356" s="720"/>
      <c r="V356" s="720"/>
      <c r="W356" s="720"/>
      <c r="X356" s="720"/>
      <c r="Y356" s="720"/>
      <c r="Z356" s="720"/>
      <c r="AA356" s="720"/>
      <c r="AB356" s="720"/>
    </row>
    <row r="357" spans="1:28" ht="12.75" customHeight="1">
      <c r="A357" s="902"/>
      <c r="B357" s="903"/>
      <c r="C357" s="720"/>
      <c r="D357" s="720"/>
      <c r="E357" s="720"/>
      <c r="F357" s="720"/>
      <c r="G357" s="906"/>
      <c r="H357" s="720"/>
      <c r="I357" s="720"/>
      <c r="J357" s="720"/>
      <c r="K357" s="907"/>
      <c r="L357" s="720"/>
      <c r="M357" s="720"/>
      <c r="N357" s="720"/>
      <c r="O357" s="720"/>
      <c r="P357" s="720"/>
      <c r="Q357" s="720"/>
      <c r="R357" s="720"/>
      <c r="S357" s="720"/>
      <c r="T357" s="720"/>
      <c r="U357" s="720"/>
      <c r="V357" s="720"/>
      <c r="W357" s="720"/>
      <c r="X357" s="720"/>
      <c r="Y357" s="720"/>
      <c r="Z357" s="720"/>
      <c r="AA357" s="720"/>
      <c r="AB357" s="720"/>
    </row>
    <row r="358" spans="1:28" ht="12.75" customHeight="1">
      <c r="A358" s="902"/>
      <c r="B358" s="903"/>
      <c r="C358" s="720"/>
      <c r="D358" s="720"/>
      <c r="E358" s="720"/>
      <c r="F358" s="720"/>
      <c r="G358" s="906"/>
      <c r="H358" s="720"/>
      <c r="I358" s="720"/>
      <c r="J358" s="720"/>
      <c r="K358" s="907"/>
      <c r="L358" s="720"/>
      <c r="M358" s="720"/>
      <c r="N358" s="720"/>
      <c r="O358" s="720"/>
      <c r="P358" s="720"/>
      <c r="Q358" s="720"/>
      <c r="R358" s="720"/>
      <c r="S358" s="720"/>
      <c r="T358" s="720"/>
      <c r="U358" s="720"/>
      <c r="V358" s="720"/>
      <c r="W358" s="720"/>
      <c r="X358" s="720"/>
      <c r="Y358" s="720"/>
      <c r="Z358" s="720"/>
      <c r="AA358" s="720"/>
      <c r="AB358" s="720"/>
    </row>
    <row r="359" spans="1:28" ht="12.75" customHeight="1">
      <c r="A359" s="902"/>
      <c r="B359" s="903"/>
      <c r="C359" s="720"/>
      <c r="D359" s="720"/>
      <c r="E359" s="720"/>
      <c r="F359" s="720"/>
      <c r="G359" s="906"/>
      <c r="H359" s="720"/>
      <c r="I359" s="720"/>
      <c r="J359" s="720"/>
      <c r="K359" s="907"/>
      <c r="L359" s="720"/>
      <c r="M359" s="720"/>
      <c r="N359" s="720"/>
      <c r="O359" s="720"/>
      <c r="P359" s="720"/>
      <c r="Q359" s="720"/>
      <c r="R359" s="720"/>
      <c r="S359" s="720"/>
      <c r="T359" s="720"/>
      <c r="U359" s="720"/>
      <c r="V359" s="720"/>
      <c r="W359" s="720"/>
      <c r="X359" s="720"/>
      <c r="Y359" s="720"/>
      <c r="Z359" s="720"/>
      <c r="AA359" s="720"/>
      <c r="AB359" s="720"/>
    </row>
    <row r="360" spans="1:28" ht="12.75" customHeight="1">
      <c r="A360" s="902"/>
      <c r="B360" s="903"/>
      <c r="C360" s="720"/>
      <c r="D360" s="720"/>
      <c r="E360" s="720"/>
      <c r="F360" s="720"/>
      <c r="G360" s="906"/>
      <c r="H360" s="720"/>
      <c r="I360" s="720"/>
      <c r="J360" s="720"/>
      <c r="K360" s="907"/>
      <c r="L360" s="720"/>
      <c r="M360" s="720"/>
      <c r="N360" s="720"/>
      <c r="O360" s="720"/>
      <c r="P360" s="720"/>
      <c r="Q360" s="720"/>
      <c r="R360" s="720"/>
      <c r="S360" s="720"/>
      <c r="T360" s="720"/>
      <c r="U360" s="720"/>
      <c r="V360" s="720"/>
      <c r="W360" s="720"/>
      <c r="X360" s="720"/>
      <c r="Y360" s="720"/>
      <c r="Z360" s="720"/>
      <c r="AA360" s="720"/>
      <c r="AB360" s="720"/>
    </row>
    <row r="361" spans="1:28" ht="12.75" customHeight="1">
      <c r="A361" s="902"/>
      <c r="B361" s="903"/>
      <c r="C361" s="720"/>
      <c r="D361" s="720"/>
      <c r="E361" s="720"/>
      <c r="F361" s="720"/>
      <c r="G361" s="906"/>
      <c r="H361" s="720"/>
      <c r="I361" s="720"/>
      <c r="J361" s="720"/>
      <c r="K361" s="907"/>
      <c r="L361" s="720"/>
      <c r="M361" s="720"/>
      <c r="N361" s="720"/>
      <c r="O361" s="720"/>
      <c r="P361" s="720"/>
      <c r="Q361" s="720"/>
      <c r="R361" s="720"/>
      <c r="S361" s="720"/>
      <c r="T361" s="720"/>
      <c r="U361" s="720"/>
      <c r="V361" s="720"/>
      <c r="W361" s="720"/>
      <c r="X361" s="720"/>
      <c r="Y361" s="720"/>
      <c r="Z361" s="720"/>
      <c r="AA361" s="720"/>
      <c r="AB361" s="720"/>
    </row>
    <row r="362" spans="1:28" ht="12.75" customHeight="1">
      <c r="A362" s="902"/>
      <c r="B362" s="903"/>
      <c r="C362" s="720"/>
      <c r="D362" s="720"/>
      <c r="E362" s="720"/>
      <c r="F362" s="720"/>
      <c r="G362" s="906"/>
      <c r="H362" s="720"/>
      <c r="I362" s="720"/>
      <c r="J362" s="720"/>
      <c r="K362" s="907"/>
      <c r="L362" s="720"/>
      <c r="M362" s="720"/>
      <c r="N362" s="720"/>
      <c r="O362" s="720"/>
      <c r="P362" s="720"/>
      <c r="Q362" s="720"/>
      <c r="R362" s="720"/>
      <c r="S362" s="720"/>
      <c r="T362" s="720"/>
      <c r="U362" s="720"/>
      <c r="V362" s="720"/>
      <c r="W362" s="720"/>
      <c r="X362" s="720"/>
      <c r="Y362" s="720"/>
      <c r="Z362" s="720"/>
      <c r="AA362" s="720"/>
      <c r="AB362" s="720"/>
    </row>
    <row r="363" spans="1:28" ht="12.75" customHeight="1">
      <c r="A363" s="902"/>
      <c r="B363" s="903"/>
      <c r="C363" s="720"/>
      <c r="D363" s="720"/>
      <c r="E363" s="720"/>
      <c r="F363" s="720"/>
      <c r="G363" s="906"/>
      <c r="H363" s="720"/>
      <c r="I363" s="720"/>
      <c r="J363" s="720"/>
      <c r="K363" s="907"/>
      <c r="L363" s="720"/>
      <c r="M363" s="720"/>
      <c r="N363" s="720"/>
      <c r="O363" s="720"/>
      <c r="P363" s="720"/>
      <c r="Q363" s="720"/>
      <c r="R363" s="720"/>
      <c r="S363" s="720"/>
      <c r="T363" s="720"/>
      <c r="U363" s="720"/>
      <c r="V363" s="720"/>
      <c r="W363" s="720"/>
      <c r="X363" s="720"/>
      <c r="Y363" s="720"/>
      <c r="Z363" s="720"/>
      <c r="AA363" s="720"/>
      <c r="AB363" s="720"/>
    </row>
    <row r="364" spans="1:28" ht="12.75" customHeight="1">
      <c r="A364" s="902"/>
      <c r="B364" s="903"/>
      <c r="C364" s="720"/>
      <c r="D364" s="720"/>
      <c r="E364" s="720"/>
      <c r="F364" s="720"/>
      <c r="G364" s="906"/>
      <c r="H364" s="720"/>
      <c r="I364" s="720"/>
      <c r="J364" s="720"/>
      <c r="K364" s="907"/>
      <c r="L364" s="720"/>
      <c r="M364" s="720"/>
      <c r="N364" s="720"/>
      <c r="O364" s="720"/>
      <c r="P364" s="720"/>
      <c r="Q364" s="720"/>
      <c r="R364" s="720"/>
      <c r="S364" s="720"/>
      <c r="T364" s="720"/>
      <c r="U364" s="720"/>
      <c r="V364" s="720"/>
      <c r="W364" s="720"/>
      <c r="X364" s="720"/>
      <c r="Y364" s="720"/>
      <c r="Z364" s="720"/>
      <c r="AA364" s="720"/>
      <c r="AB364" s="720"/>
    </row>
    <row r="365" spans="1:28" ht="12.75" customHeight="1">
      <c r="A365" s="902"/>
      <c r="B365" s="903"/>
      <c r="C365" s="720"/>
      <c r="D365" s="720"/>
      <c r="E365" s="720"/>
      <c r="F365" s="720"/>
      <c r="G365" s="906"/>
      <c r="H365" s="720"/>
      <c r="I365" s="720"/>
      <c r="J365" s="720"/>
      <c r="K365" s="907"/>
      <c r="L365" s="720"/>
      <c r="M365" s="720"/>
      <c r="N365" s="720"/>
      <c r="O365" s="720"/>
      <c r="P365" s="720"/>
      <c r="Q365" s="720"/>
      <c r="R365" s="720"/>
      <c r="S365" s="720"/>
      <c r="T365" s="720"/>
      <c r="U365" s="720"/>
      <c r="V365" s="720"/>
      <c r="W365" s="720"/>
      <c r="X365" s="720"/>
      <c r="Y365" s="720"/>
      <c r="Z365" s="720"/>
      <c r="AA365" s="720"/>
      <c r="AB365" s="720"/>
    </row>
    <row r="366" spans="1:28" ht="12.75" customHeight="1">
      <c r="A366" s="902"/>
      <c r="B366" s="903"/>
      <c r="C366" s="720"/>
      <c r="D366" s="720"/>
      <c r="E366" s="720"/>
      <c r="F366" s="720"/>
      <c r="G366" s="906"/>
      <c r="H366" s="720"/>
      <c r="I366" s="720"/>
      <c r="J366" s="720"/>
      <c r="K366" s="907"/>
      <c r="L366" s="720"/>
      <c r="M366" s="720"/>
      <c r="N366" s="720"/>
      <c r="O366" s="720"/>
      <c r="P366" s="720"/>
      <c r="Q366" s="720"/>
      <c r="R366" s="720"/>
      <c r="S366" s="720"/>
      <c r="T366" s="720"/>
      <c r="U366" s="720"/>
      <c r="V366" s="720"/>
      <c r="W366" s="720"/>
      <c r="X366" s="720"/>
      <c r="Y366" s="720"/>
      <c r="Z366" s="720"/>
      <c r="AA366" s="720"/>
      <c r="AB366" s="720"/>
    </row>
    <row r="367" spans="1:28" ht="12.75" customHeight="1">
      <c r="A367" s="902"/>
      <c r="B367" s="903"/>
      <c r="C367" s="720"/>
      <c r="D367" s="720"/>
      <c r="E367" s="720"/>
      <c r="F367" s="720"/>
      <c r="G367" s="906"/>
      <c r="H367" s="720"/>
      <c r="I367" s="720"/>
      <c r="J367" s="720"/>
      <c r="K367" s="907"/>
      <c r="L367" s="720"/>
      <c r="M367" s="720"/>
      <c r="N367" s="720"/>
      <c r="O367" s="720"/>
      <c r="P367" s="720"/>
      <c r="Q367" s="720"/>
      <c r="R367" s="720"/>
      <c r="S367" s="720"/>
      <c r="T367" s="720"/>
      <c r="U367" s="720"/>
      <c r="V367" s="720"/>
      <c r="W367" s="720"/>
      <c r="X367" s="720"/>
      <c r="Y367" s="720"/>
      <c r="Z367" s="720"/>
      <c r="AA367" s="720"/>
      <c r="AB367" s="720"/>
    </row>
    <row r="368" spans="1:28" ht="12.75" customHeight="1">
      <c r="A368" s="902"/>
      <c r="B368" s="903"/>
      <c r="C368" s="720"/>
      <c r="D368" s="720"/>
      <c r="E368" s="720"/>
      <c r="F368" s="720"/>
      <c r="G368" s="906"/>
      <c r="H368" s="720"/>
      <c r="I368" s="720"/>
      <c r="J368" s="720"/>
      <c r="K368" s="907"/>
      <c r="L368" s="720"/>
      <c r="M368" s="720"/>
      <c r="N368" s="720"/>
      <c r="O368" s="720"/>
      <c r="P368" s="720"/>
      <c r="Q368" s="720"/>
      <c r="R368" s="720"/>
      <c r="S368" s="720"/>
      <c r="T368" s="720"/>
      <c r="U368" s="720"/>
      <c r="V368" s="720"/>
      <c r="W368" s="720"/>
      <c r="X368" s="720"/>
      <c r="Y368" s="720"/>
      <c r="Z368" s="720"/>
      <c r="AA368" s="720"/>
      <c r="AB368" s="720"/>
    </row>
    <row r="369" spans="1:28" ht="12.75" customHeight="1">
      <c r="A369" s="902"/>
      <c r="B369" s="903"/>
      <c r="C369" s="720"/>
      <c r="D369" s="720"/>
      <c r="E369" s="720"/>
      <c r="F369" s="720"/>
      <c r="G369" s="906"/>
      <c r="H369" s="720"/>
      <c r="I369" s="720"/>
      <c r="J369" s="720"/>
      <c r="K369" s="907"/>
      <c r="L369" s="720"/>
      <c r="M369" s="720"/>
      <c r="N369" s="720"/>
      <c r="O369" s="720"/>
      <c r="P369" s="720"/>
      <c r="Q369" s="720"/>
      <c r="R369" s="720"/>
      <c r="S369" s="720"/>
      <c r="T369" s="720"/>
      <c r="U369" s="720"/>
      <c r="V369" s="720"/>
      <c r="W369" s="720"/>
      <c r="X369" s="720"/>
      <c r="Y369" s="720"/>
      <c r="Z369" s="720"/>
      <c r="AA369" s="720"/>
      <c r="AB369" s="720"/>
    </row>
    <row r="370" spans="1:28" ht="12.75" customHeight="1">
      <c r="A370" s="902"/>
      <c r="B370" s="903"/>
      <c r="C370" s="720"/>
      <c r="D370" s="720"/>
      <c r="E370" s="720"/>
      <c r="F370" s="720"/>
      <c r="G370" s="906"/>
      <c r="H370" s="720"/>
      <c r="I370" s="720"/>
      <c r="J370" s="720"/>
      <c r="K370" s="907"/>
      <c r="L370" s="720"/>
      <c r="M370" s="720"/>
      <c r="N370" s="720"/>
      <c r="O370" s="720"/>
      <c r="P370" s="720"/>
      <c r="Q370" s="720"/>
      <c r="R370" s="720"/>
      <c r="S370" s="720"/>
      <c r="T370" s="720"/>
      <c r="U370" s="720"/>
      <c r="V370" s="720"/>
      <c r="W370" s="720"/>
      <c r="X370" s="720"/>
      <c r="Y370" s="720"/>
      <c r="Z370" s="720"/>
      <c r="AA370" s="720"/>
      <c r="AB370" s="720"/>
    </row>
    <row r="371" spans="1:28" ht="12.75" customHeight="1">
      <c r="A371" s="902"/>
      <c r="B371" s="903"/>
      <c r="C371" s="720"/>
      <c r="D371" s="720"/>
      <c r="E371" s="720"/>
      <c r="F371" s="720"/>
      <c r="G371" s="906"/>
      <c r="H371" s="720"/>
      <c r="I371" s="720"/>
      <c r="J371" s="720"/>
      <c r="K371" s="907"/>
      <c r="L371" s="720"/>
      <c r="M371" s="720"/>
      <c r="N371" s="720"/>
      <c r="O371" s="720"/>
      <c r="P371" s="720"/>
      <c r="Q371" s="720"/>
      <c r="R371" s="720"/>
      <c r="S371" s="720"/>
      <c r="T371" s="720"/>
      <c r="U371" s="720"/>
      <c r="V371" s="720"/>
      <c r="W371" s="720"/>
      <c r="X371" s="720"/>
      <c r="Y371" s="720"/>
      <c r="Z371" s="720"/>
      <c r="AA371" s="720"/>
      <c r="AB371" s="720"/>
    </row>
    <row r="372" spans="1:28" ht="12.75" customHeight="1">
      <c r="A372" s="902"/>
      <c r="B372" s="903"/>
      <c r="C372" s="720"/>
      <c r="D372" s="720"/>
      <c r="E372" s="720"/>
      <c r="F372" s="720"/>
      <c r="G372" s="906"/>
      <c r="H372" s="720"/>
      <c r="I372" s="720"/>
      <c r="J372" s="720"/>
      <c r="K372" s="907"/>
      <c r="L372" s="720"/>
      <c r="M372" s="720"/>
      <c r="N372" s="720"/>
      <c r="O372" s="720"/>
      <c r="P372" s="720"/>
      <c r="Q372" s="720"/>
      <c r="R372" s="720"/>
      <c r="S372" s="720"/>
      <c r="T372" s="720"/>
      <c r="U372" s="720"/>
      <c r="V372" s="720"/>
      <c r="W372" s="720"/>
      <c r="X372" s="720"/>
      <c r="Y372" s="720"/>
      <c r="Z372" s="720"/>
      <c r="AA372" s="720"/>
      <c r="AB372" s="720"/>
    </row>
    <row r="373" spans="1:28" ht="12.75" customHeight="1">
      <c r="A373" s="902"/>
      <c r="B373" s="903"/>
      <c r="C373" s="720"/>
      <c r="D373" s="720"/>
      <c r="E373" s="720"/>
      <c r="F373" s="720"/>
      <c r="G373" s="906"/>
      <c r="H373" s="720"/>
      <c r="I373" s="720"/>
      <c r="J373" s="720"/>
      <c r="K373" s="907"/>
      <c r="L373" s="720"/>
      <c r="M373" s="720"/>
      <c r="N373" s="720"/>
      <c r="O373" s="720"/>
      <c r="P373" s="720"/>
      <c r="Q373" s="720"/>
      <c r="R373" s="720"/>
      <c r="S373" s="720"/>
      <c r="T373" s="720"/>
      <c r="U373" s="720"/>
      <c r="V373" s="720"/>
      <c r="W373" s="720"/>
      <c r="X373" s="720"/>
      <c r="Y373" s="720"/>
      <c r="Z373" s="720"/>
      <c r="AA373" s="720"/>
      <c r="AB373" s="720"/>
    </row>
    <row r="374" spans="1:28" ht="12.75" customHeight="1">
      <c r="A374" s="902"/>
      <c r="B374" s="903"/>
      <c r="C374" s="720"/>
      <c r="D374" s="720"/>
      <c r="E374" s="720"/>
      <c r="F374" s="720"/>
      <c r="G374" s="906"/>
      <c r="H374" s="720"/>
      <c r="I374" s="720"/>
      <c r="J374" s="720"/>
      <c r="K374" s="907"/>
      <c r="L374" s="720"/>
      <c r="M374" s="720"/>
      <c r="N374" s="720"/>
      <c r="O374" s="720"/>
      <c r="P374" s="720"/>
      <c r="Q374" s="720"/>
      <c r="R374" s="720"/>
      <c r="S374" s="720"/>
      <c r="T374" s="720"/>
      <c r="U374" s="720"/>
      <c r="V374" s="720"/>
      <c r="W374" s="720"/>
      <c r="X374" s="720"/>
      <c r="Y374" s="720"/>
      <c r="Z374" s="720"/>
      <c r="AA374" s="720"/>
      <c r="AB374" s="720"/>
    </row>
    <row r="375" spans="1:28" ht="12.75" customHeight="1">
      <c r="A375" s="902"/>
      <c r="B375" s="903"/>
      <c r="C375" s="720"/>
      <c r="D375" s="720"/>
      <c r="E375" s="720"/>
      <c r="F375" s="720"/>
      <c r="G375" s="906"/>
      <c r="H375" s="720"/>
      <c r="I375" s="720"/>
      <c r="J375" s="720"/>
      <c r="K375" s="907"/>
      <c r="L375" s="720"/>
      <c r="M375" s="720"/>
      <c r="N375" s="720"/>
      <c r="O375" s="720"/>
      <c r="P375" s="720"/>
      <c r="Q375" s="720"/>
      <c r="R375" s="720"/>
      <c r="S375" s="720"/>
      <c r="T375" s="720"/>
      <c r="U375" s="720"/>
      <c r="V375" s="720"/>
      <c r="W375" s="720"/>
      <c r="X375" s="720"/>
      <c r="Y375" s="720"/>
      <c r="Z375" s="720"/>
      <c r="AA375" s="720"/>
      <c r="AB375" s="720"/>
    </row>
    <row r="376" spans="1:28" ht="12.75" customHeight="1">
      <c r="A376" s="902"/>
      <c r="B376" s="903"/>
      <c r="C376" s="720"/>
      <c r="D376" s="720"/>
      <c r="E376" s="720"/>
      <c r="F376" s="720"/>
      <c r="G376" s="906"/>
      <c r="H376" s="720"/>
      <c r="I376" s="720"/>
      <c r="J376" s="720"/>
      <c r="K376" s="907"/>
      <c r="L376" s="720"/>
      <c r="M376" s="720"/>
      <c r="N376" s="720"/>
      <c r="O376" s="720"/>
      <c r="P376" s="720"/>
      <c r="Q376" s="720"/>
      <c r="R376" s="720"/>
      <c r="S376" s="720"/>
      <c r="T376" s="720"/>
      <c r="U376" s="720"/>
      <c r="V376" s="720"/>
      <c r="W376" s="720"/>
      <c r="X376" s="720"/>
      <c r="Y376" s="720"/>
      <c r="Z376" s="720"/>
      <c r="AA376" s="720"/>
      <c r="AB376" s="720"/>
    </row>
    <row r="377" spans="1:28" ht="12.75" customHeight="1">
      <c r="A377" s="902"/>
      <c r="B377" s="903"/>
      <c r="C377" s="720"/>
      <c r="D377" s="720"/>
      <c r="E377" s="720"/>
      <c r="F377" s="720"/>
      <c r="G377" s="906"/>
      <c r="H377" s="720"/>
      <c r="I377" s="720"/>
      <c r="J377" s="720"/>
      <c r="K377" s="907"/>
      <c r="L377" s="720"/>
      <c r="M377" s="720"/>
      <c r="N377" s="720"/>
      <c r="O377" s="720"/>
      <c r="P377" s="720"/>
      <c r="Q377" s="720"/>
      <c r="R377" s="720"/>
      <c r="S377" s="720"/>
      <c r="T377" s="720"/>
      <c r="U377" s="720"/>
      <c r="V377" s="720"/>
      <c r="W377" s="720"/>
      <c r="X377" s="720"/>
      <c r="Y377" s="720"/>
      <c r="Z377" s="720"/>
      <c r="AA377" s="720"/>
      <c r="AB377" s="720"/>
    </row>
    <row r="378" spans="1:28" ht="12.75" customHeight="1">
      <c r="A378" s="902"/>
      <c r="B378" s="903"/>
      <c r="C378" s="720"/>
      <c r="D378" s="720"/>
      <c r="E378" s="720"/>
      <c r="F378" s="720"/>
      <c r="G378" s="906"/>
      <c r="H378" s="720"/>
      <c r="I378" s="720"/>
      <c r="J378" s="720"/>
      <c r="K378" s="907"/>
      <c r="L378" s="720"/>
      <c r="M378" s="720"/>
      <c r="N378" s="720"/>
      <c r="O378" s="720"/>
      <c r="P378" s="720"/>
      <c r="Q378" s="720"/>
      <c r="R378" s="720"/>
      <c r="S378" s="720"/>
      <c r="T378" s="720"/>
      <c r="U378" s="720"/>
      <c r="V378" s="720"/>
      <c r="W378" s="720"/>
      <c r="X378" s="720"/>
      <c r="Y378" s="720"/>
      <c r="Z378" s="720"/>
      <c r="AA378" s="720"/>
      <c r="AB378" s="720"/>
    </row>
    <row r="379" spans="1:28" ht="12.75" customHeight="1">
      <c r="A379" s="902"/>
      <c r="B379" s="903"/>
      <c r="C379" s="720"/>
      <c r="D379" s="720"/>
      <c r="E379" s="720"/>
      <c r="F379" s="720"/>
      <c r="G379" s="906"/>
      <c r="H379" s="720"/>
      <c r="I379" s="720"/>
      <c r="J379" s="720"/>
      <c r="K379" s="907"/>
      <c r="L379" s="720"/>
      <c r="M379" s="720"/>
      <c r="N379" s="720"/>
      <c r="O379" s="720"/>
      <c r="P379" s="720"/>
      <c r="Q379" s="720"/>
      <c r="R379" s="720"/>
      <c r="S379" s="720"/>
      <c r="T379" s="720"/>
      <c r="U379" s="720"/>
      <c r="V379" s="720"/>
      <c r="W379" s="720"/>
      <c r="X379" s="720"/>
      <c r="Y379" s="720"/>
      <c r="Z379" s="720"/>
      <c r="AA379" s="720"/>
      <c r="AB379" s="720"/>
    </row>
    <row r="380" spans="1:28" ht="12.75" customHeight="1">
      <c r="A380" s="902"/>
      <c r="B380" s="903"/>
      <c r="C380" s="720"/>
      <c r="D380" s="720"/>
      <c r="E380" s="720"/>
      <c r="F380" s="720"/>
      <c r="G380" s="906"/>
      <c r="H380" s="720"/>
      <c r="I380" s="720"/>
      <c r="J380" s="720"/>
      <c r="K380" s="907"/>
      <c r="L380" s="720"/>
      <c r="M380" s="720"/>
      <c r="N380" s="720"/>
      <c r="O380" s="720"/>
      <c r="P380" s="720"/>
      <c r="Q380" s="720"/>
      <c r="R380" s="720"/>
      <c r="S380" s="720"/>
      <c r="T380" s="720"/>
      <c r="U380" s="720"/>
      <c r="V380" s="720"/>
      <c r="W380" s="720"/>
      <c r="X380" s="720"/>
      <c r="Y380" s="720"/>
      <c r="Z380" s="720"/>
      <c r="AA380" s="720"/>
      <c r="AB380" s="720"/>
    </row>
    <row r="381" spans="1:28" ht="12.75" customHeight="1">
      <c r="A381" s="902"/>
      <c r="B381" s="903"/>
      <c r="C381" s="720"/>
      <c r="D381" s="720"/>
      <c r="E381" s="720"/>
      <c r="F381" s="720"/>
      <c r="G381" s="906"/>
      <c r="H381" s="720"/>
      <c r="I381" s="720"/>
      <c r="J381" s="720"/>
      <c r="K381" s="907"/>
      <c r="L381" s="720"/>
      <c r="M381" s="720"/>
      <c r="N381" s="720"/>
      <c r="O381" s="720"/>
      <c r="P381" s="720"/>
      <c r="Q381" s="720"/>
      <c r="R381" s="720"/>
      <c r="S381" s="720"/>
      <c r="T381" s="720"/>
      <c r="U381" s="720"/>
      <c r="V381" s="720"/>
      <c r="W381" s="720"/>
      <c r="X381" s="720"/>
      <c r="Y381" s="720"/>
      <c r="Z381" s="720"/>
      <c r="AA381" s="720"/>
      <c r="AB381" s="720"/>
    </row>
    <row r="382" spans="1:28" ht="12.75" customHeight="1">
      <c r="A382" s="902"/>
      <c r="B382" s="903"/>
      <c r="C382" s="720"/>
      <c r="D382" s="720"/>
      <c r="E382" s="720"/>
      <c r="F382" s="720"/>
      <c r="G382" s="906"/>
      <c r="H382" s="720"/>
      <c r="I382" s="720"/>
      <c r="J382" s="720"/>
      <c r="K382" s="907"/>
      <c r="L382" s="720"/>
      <c r="M382" s="720"/>
      <c r="N382" s="720"/>
      <c r="O382" s="720"/>
      <c r="P382" s="720"/>
      <c r="Q382" s="720"/>
      <c r="R382" s="720"/>
      <c r="S382" s="720"/>
      <c r="T382" s="720"/>
      <c r="U382" s="720"/>
      <c r="V382" s="720"/>
      <c r="W382" s="720"/>
      <c r="X382" s="720"/>
      <c r="Y382" s="720"/>
      <c r="Z382" s="720"/>
      <c r="AA382" s="720"/>
      <c r="AB382" s="720"/>
    </row>
    <row r="383" spans="1:28" ht="12.75" customHeight="1">
      <c r="A383" s="902"/>
      <c r="B383" s="903"/>
      <c r="C383" s="720"/>
      <c r="D383" s="720"/>
      <c r="E383" s="720"/>
      <c r="F383" s="720"/>
      <c r="G383" s="906"/>
      <c r="H383" s="720"/>
      <c r="I383" s="720"/>
      <c r="J383" s="720"/>
      <c r="K383" s="907"/>
      <c r="L383" s="720"/>
      <c r="M383" s="720"/>
      <c r="N383" s="720"/>
      <c r="O383" s="720"/>
      <c r="P383" s="720"/>
      <c r="Q383" s="720"/>
      <c r="R383" s="720"/>
      <c r="S383" s="720"/>
      <c r="T383" s="720"/>
      <c r="U383" s="720"/>
      <c r="V383" s="720"/>
      <c r="W383" s="720"/>
      <c r="X383" s="720"/>
      <c r="Y383" s="720"/>
      <c r="Z383" s="720"/>
      <c r="AA383" s="720"/>
      <c r="AB383" s="720"/>
    </row>
    <row r="384" spans="1:28" ht="12.75" customHeight="1">
      <c r="A384" s="902"/>
      <c r="B384" s="903"/>
      <c r="C384" s="720"/>
      <c r="D384" s="720"/>
      <c r="E384" s="720"/>
      <c r="F384" s="720"/>
      <c r="G384" s="906"/>
      <c r="H384" s="720"/>
      <c r="I384" s="720"/>
      <c r="J384" s="720"/>
      <c r="K384" s="907"/>
      <c r="L384" s="720"/>
      <c r="M384" s="720"/>
      <c r="N384" s="720"/>
      <c r="O384" s="720"/>
      <c r="P384" s="720"/>
      <c r="Q384" s="720"/>
      <c r="R384" s="720"/>
      <c r="S384" s="720"/>
      <c r="T384" s="720"/>
      <c r="U384" s="720"/>
      <c r="V384" s="720"/>
      <c r="W384" s="720"/>
      <c r="X384" s="720"/>
      <c r="Y384" s="720"/>
      <c r="Z384" s="720"/>
      <c r="AA384" s="720"/>
      <c r="AB384" s="720"/>
    </row>
    <row r="385" spans="1:28" ht="12.75" customHeight="1">
      <c r="A385" s="902"/>
      <c r="B385" s="903"/>
      <c r="C385" s="720"/>
      <c r="D385" s="720"/>
      <c r="E385" s="720"/>
      <c r="F385" s="720"/>
      <c r="G385" s="906"/>
      <c r="H385" s="720"/>
      <c r="I385" s="720"/>
      <c r="J385" s="720"/>
      <c r="K385" s="907"/>
      <c r="L385" s="720"/>
      <c r="M385" s="720"/>
      <c r="N385" s="720"/>
      <c r="O385" s="720"/>
      <c r="P385" s="720"/>
      <c r="Q385" s="720"/>
      <c r="R385" s="720"/>
      <c r="S385" s="720"/>
      <c r="T385" s="720"/>
      <c r="U385" s="720"/>
      <c r="V385" s="720"/>
      <c r="W385" s="720"/>
      <c r="X385" s="720"/>
      <c r="Y385" s="720"/>
      <c r="Z385" s="720"/>
      <c r="AA385" s="720"/>
      <c r="AB385" s="720"/>
    </row>
    <row r="386" spans="1:28" ht="12.75" customHeight="1">
      <c r="A386" s="902"/>
      <c r="B386" s="903"/>
      <c r="C386" s="720"/>
      <c r="D386" s="720"/>
      <c r="E386" s="720"/>
      <c r="F386" s="720"/>
      <c r="G386" s="906"/>
      <c r="H386" s="720"/>
      <c r="I386" s="720"/>
      <c r="J386" s="720"/>
      <c r="K386" s="907"/>
      <c r="L386" s="720"/>
      <c r="M386" s="720"/>
      <c r="N386" s="720"/>
      <c r="O386" s="720"/>
      <c r="P386" s="720"/>
      <c r="Q386" s="720"/>
      <c r="R386" s="720"/>
      <c r="S386" s="720"/>
      <c r="T386" s="720"/>
      <c r="U386" s="720"/>
      <c r="V386" s="720"/>
      <c r="W386" s="720"/>
      <c r="X386" s="720"/>
      <c r="Y386" s="720"/>
      <c r="Z386" s="720"/>
      <c r="AA386" s="720"/>
      <c r="AB386" s="720"/>
    </row>
    <row r="387" spans="1:28" ht="12.75" customHeight="1">
      <c r="A387" s="902"/>
      <c r="B387" s="903"/>
      <c r="C387" s="720"/>
      <c r="D387" s="720"/>
      <c r="E387" s="720"/>
      <c r="F387" s="720"/>
      <c r="G387" s="906"/>
      <c r="H387" s="720"/>
      <c r="I387" s="720"/>
      <c r="J387" s="720"/>
      <c r="K387" s="907"/>
      <c r="L387" s="720"/>
      <c r="M387" s="720"/>
      <c r="N387" s="720"/>
      <c r="O387" s="720"/>
      <c r="P387" s="720"/>
      <c r="Q387" s="720"/>
      <c r="R387" s="720"/>
      <c r="S387" s="720"/>
      <c r="T387" s="720"/>
      <c r="U387" s="720"/>
      <c r="V387" s="720"/>
      <c r="W387" s="720"/>
      <c r="X387" s="720"/>
      <c r="Y387" s="720"/>
      <c r="Z387" s="720"/>
      <c r="AA387" s="720"/>
      <c r="AB387" s="720"/>
    </row>
    <row r="388" spans="1:28" ht="12.75" customHeight="1">
      <c r="A388" s="902"/>
      <c r="B388" s="903"/>
      <c r="C388" s="720"/>
      <c r="D388" s="720"/>
      <c r="E388" s="720"/>
      <c r="F388" s="720"/>
      <c r="G388" s="906"/>
      <c r="H388" s="720"/>
      <c r="I388" s="720"/>
      <c r="J388" s="720"/>
      <c r="K388" s="907"/>
      <c r="L388" s="720"/>
      <c r="M388" s="720"/>
      <c r="N388" s="720"/>
      <c r="O388" s="720"/>
      <c r="P388" s="720"/>
      <c r="Q388" s="720"/>
      <c r="R388" s="720"/>
      <c r="S388" s="720"/>
      <c r="T388" s="720"/>
      <c r="U388" s="720"/>
      <c r="V388" s="720"/>
      <c r="W388" s="720"/>
      <c r="X388" s="720"/>
      <c r="Y388" s="720"/>
      <c r="Z388" s="720"/>
      <c r="AA388" s="720"/>
      <c r="AB388" s="720"/>
    </row>
    <row r="389" spans="1:28" ht="12.75" customHeight="1">
      <c r="A389" s="902"/>
      <c r="B389" s="903"/>
      <c r="C389" s="720"/>
      <c r="D389" s="720"/>
      <c r="E389" s="720"/>
      <c r="F389" s="720"/>
      <c r="G389" s="906"/>
      <c r="H389" s="720"/>
      <c r="I389" s="720"/>
      <c r="J389" s="720"/>
      <c r="K389" s="907"/>
      <c r="L389" s="720"/>
      <c r="M389" s="720"/>
      <c r="N389" s="720"/>
      <c r="O389" s="720"/>
      <c r="P389" s="720"/>
      <c r="Q389" s="720"/>
      <c r="R389" s="720"/>
      <c r="S389" s="720"/>
      <c r="T389" s="720"/>
      <c r="U389" s="720"/>
      <c r="V389" s="720"/>
      <c r="W389" s="720"/>
      <c r="X389" s="720"/>
      <c r="Y389" s="720"/>
      <c r="Z389" s="720"/>
      <c r="AA389" s="720"/>
      <c r="AB389" s="720"/>
    </row>
    <row r="390" spans="1:28" ht="12.75" customHeight="1">
      <c r="A390" s="902"/>
      <c r="B390" s="903"/>
      <c r="C390" s="720"/>
      <c r="D390" s="720"/>
      <c r="E390" s="720"/>
      <c r="F390" s="720"/>
      <c r="G390" s="906"/>
      <c r="H390" s="720"/>
      <c r="I390" s="720"/>
      <c r="J390" s="720"/>
      <c r="K390" s="907"/>
      <c r="L390" s="720"/>
      <c r="M390" s="720"/>
      <c r="N390" s="720"/>
      <c r="O390" s="720"/>
      <c r="P390" s="720"/>
      <c r="Q390" s="720"/>
      <c r="R390" s="720"/>
      <c r="S390" s="720"/>
      <c r="T390" s="720"/>
      <c r="U390" s="720"/>
      <c r="V390" s="720"/>
      <c r="W390" s="720"/>
      <c r="X390" s="720"/>
      <c r="Y390" s="720"/>
      <c r="Z390" s="720"/>
      <c r="AA390" s="720"/>
      <c r="AB390" s="720"/>
    </row>
    <row r="391" spans="1:28" ht="12.75" customHeight="1">
      <c r="A391" s="902"/>
      <c r="B391" s="903"/>
      <c r="C391" s="720"/>
      <c r="D391" s="720"/>
      <c r="E391" s="720"/>
      <c r="F391" s="720"/>
      <c r="G391" s="906"/>
      <c r="H391" s="720"/>
      <c r="I391" s="720"/>
      <c r="J391" s="720"/>
      <c r="K391" s="907"/>
      <c r="L391" s="720"/>
      <c r="M391" s="720"/>
      <c r="N391" s="720"/>
      <c r="O391" s="720"/>
      <c r="P391" s="720"/>
      <c r="Q391" s="720"/>
      <c r="R391" s="720"/>
      <c r="S391" s="720"/>
      <c r="T391" s="720"/>
      <c r="U391" s="720"/>
      <c r="V391" s="720"/>
      <c r="W391" s="720"/>
      <c r="X391" s="720"/>
      <c r="Y391" s="720"/>
      <c r="Z391" s="720"/>
      <c r="AA391" s="720"/>
      <c r="AB391" s="720"/>
    </row>
    <row r="392" spans="1:28" ht="12.75" customHeight="1">
      <c r="A392" s="902"/>
      <c r="B392" s="903"/>
      <c r="C392" s="720"/>
      <c r="D392" s="720"/>
      <c r="E392" s="720"/>
      <c r="F392" s="720"/>
      <c r="G392" s="906"/>
      <c r="H392" s="720"/>
      <c r="I392" s="720"/>
      <c r="J392" s="720"/>
      <c r="K392" s="907"/>
      <c r="L392" s="720"/>
      <c r="M392" s="720"/>
      <c r="N392" s="720"/>
      <c r="O392" s="720"/>
      <c r="P392" s="720"/>
      <c r="Q392" s="720"/>
      <c r="R392" s="720"/>
      <c r="S392" s="720"/>
      <c r="T392" s="720"/>
      <c r="U392" s="720"/>
      <c r="V392" s="720"/>
      <c r="W392" s="720"/>
      <c r="X392" s="720"/>
      <c r="Y392" s="720"/>
      <c r="Z392" s="720"/>
      <c r="AA392" s="720"/>
      <c r="AB392" s="720"/>
    </row>
    <row r="393" spans="1:28" ht="12.75" customHeight="1">
      <c r="A393" s="902"/>
      <c r="B393" s="903"/>
      <c r="C393" s="720"/>
      <c r="D393" s="720"/>
      <c r="E393" s="720"/>
      <c r="F393" s="720"/>
      <c r="G393" s="906"/>
      <c r="H393" s="720"/>
      <c r="I393" s="720"/>
      <c r="J393" s="720"/>
      <c r="K393" s="907"/>
      <c r="L393" s="720"/>
      <c r="M393" s="720"/>
      <c r="N393" s="720"/>
      <c r="O393" s="720"/>
      <c r="P393" s="720"/>
      <c r="Q393" s="720"/>
      <c r="R393" s="720"/>
      <c r="S393" s="720"/>
      <c r="T393" s="720"/>
      <c r="U393" s="720"/>
      <c r="V393" s="720"/>
      <c r="W393" s="720"/>
      <c r="X393" s="720"/>
      <c r="Y393" s="720"/>
      <c r="Z393" s="720"/>
      <c r="AA393" s="720"/>
      <c r="AB393" s="720"/>
    </row>
    <row r="394" spans="1:28" ht="12.75" customHeight="1">
      <c r="A394" s="902"/>
      <c r="B394" s="903"/>
      <c r="C394" s="720"/>
      <c r="D394" s="720"/>
      <c r="E394" s="720"/>
      <c r="F394" s="720"/>
      <c r="G394" s="906"/>
      <c r="H394" s="720"/>
      <c r="I394" s="720"/>
      <c r="J394" s="720"/>
      <c r="K394" s="907"/>
      <c r="L394" s="720"/>
      <c r="M394" s="720"/>
      <c r="N394" s="720"/>
      <c r="O394" s="720"/>
      <c r="P394" s="720"/>
      <c r="Q394" s="720"/>
      <c r="R394" s="720"/>
      <c r="S394" s="720"/>
      <c r="T394" s="720"/>
      <c r="U394" s="720"/>
      <c r="V394" s="720"/>
      <c r="W394" s="720"/>
      <c r="X394" s="720"/>
      <c r="Y394" s="720"/>
      <c r="Z394" s="720"/>
      <c r="AA394" s="720"/>
      <c r="AB394" s="720"/>
    </row>
    <row r="395" spans="1:28" ht="12.75" customHeight="1">
      <c r="A395" s="902"/>
      <c r="B395" s="903"/>
      <c r="C395" s="720"/>
      <c r="D395" s="720"/>
      <c r="E395" s="720"/>
      <c r="F395" s="720"/>
      <c r="G395" s="906"/>
      <c r="H395" s="720"/>
      <c r="I395" s="720"/>
      <c r="J395" s="720"/>
      <c r="K395" s="907"/>
      <c r="L395" s="720"/>
      <c r="M395" s="720"/>
      <c r="N395" s="720"/>
      <c r="O395" s="720"/>
      <c r="P395" s="720"/>
      <c r="Q395" s="720"/>
      <c r="R395" s="720"/>
      <c r="S395" s="720"/>
      <c r="T395" s="720"/>
      <c r="U395" s="720"/>
      <c r="V395" s="720"/>
      <c r="W395" s="720"/>
      <c r="X395" s="720"/>
      <c r="Y395" s="720"/>
      <c r="Z395" s="720"/>
      <c r="AA395" s="720"/>
      <c r="AB395" s="720"/>
    </row>
    <row r="396" spans="1:28" ht="12.75" customHeight="1">
      <c r="A396" s="902"/>
      <c r="B396" s="903"/>
      <c r="C396" s="720"/>
      <c r="D396" s="720"/>
      <c r="E396" s="720"/>
      <c r="F396" s="720"/>
      <c r="G396" s="906"/>
      <c r="H396" s="720"/>
      <c r="I396" s="720"/>
      <c r="J396" s="720"/>
      <c r="K396" s="907"/>
      <c r="L396" s="720"/>
      <c r="M396" s="720"/>
      <c r="N396" s="720"/>
      <c r="O396" s="720"/>
      <c r="P396" s="720"/>
      <c r="Q396" s="720"/>
      <c r="R396" s="720"/>
      <c r="S396" s="720"/>
      <c r="T396" s="720"/>
      <c r="U396" s="720"/>
      <c r="V396" s="720"/>
      <c r="W396" s="720"/>
      <c r="X396" s="720"/>
      <c r="Y396" s="720"/>
      <c r="Z396" s="720"/>
      <c r="AA396" s="720"/>
      <c r="AB396" s="720"/>
    </row>
    <row r="397" spans="1:28" ht="12.75" customHeight="1">
      <c r="A397" s="902"/>
      <c r="B397" s="903"/>
      <c r="C397" s="720"/>
      <c r="D397" s="720"/>
      <c r="E397" s="720"/>
      <c r="F397" s="720"/>
      <c r="G397" s="906"/>
      <c r="H397" s="720"/>
      <c r="I397" s="720"/>
      <c r="J397" s="720"/>
      <c r="K397" s="907"/>
      <c r="L397" s="720"/>
      <c r="M397" s="720"/>
      <c r="N397" s="720"/>
      <c r="O397" s="720"/>
      <c r="P397" s="720"/>
      <c r="Q397" s="720"/>
      <c r="R397" s="720"/>
      <c r="S397" s="720"/>
      <c r="T397" s="720"/>
      <c r="U397" s="720"/>
      <c r="V397" s="720"/>
      <c r="W397" s="720"/>
      <c r="X397" s="720"/>
      <c r="Y397" s="720"/>
      <c r="Z397" s="720"/>
      <c r="AA397" s="720"/>
      <c r="AB397" s="720"/>
    </row>
    <row r="398" spans="1:28" ht="12.75" customHeight="1">
      <c r="A398" s="902"/>
      <c r="B398" s="903"/>
      <c r="C398" s="720"/>
      <c r="D398" s="720"/>
      <c r="E398" s="720"/>
      <c r="F398" s="720"/>
      <c r="G398" s="906"/>
      <c r="H398" s="720"/>
      <c r="I398" s="720"/>
      <c r="J398" s="720"/>
      <c r="K398" s="907"/>
      <c r="L398" s="720"/>
      <c r="M398" s="720"/>
      <c r="N398" s="720"/>
      <c r="O398" s="720"/>
      <c r="P398" s="720"/>
      <c r="Q398" s="720"/>
      <c r="R398" s="720"/>
      <c r="S398" s="720"/>
      <c r="T398" s="720"/>
      <c r="U398" s="720"/>
      <c r="V398" s="720"/>
      <c r="W398" s="720"/>
      <c r="X398" s="720"/>
      <c r="Y398" s="720"/>
      <c r="Z398" s="720"/>
      <c r="AA398" s="720"/>
      <c r="AB398" s="720"/>
    </row>
    <row r="399" spans="1:28" ht="12.75" customHeight="1">
      <c r="A399" s="902"/>
      <c r="B399" s="903"/>
      <c r="C399" s="720"/>
      <c r="D399" s="720"/>
      <c r="E399" s="720"/>
      <c r="F399" s="720"/>
      <c r="G399" s="906"/>
      <c r="H399" s="720"/>
      <c r="I399" s="720"/>
      <c r="J399" s="720"/>
      <c r="K399" s="907"/>
      <c r="L399" s="720"/>
      <c r="M399" s="720"/>
      <c r="N399" s="720"/>
      <c r="O399" s="720"/>
      <c r="P399" s="720"/>
      <c r="Q399" s="720"/>
      <c r="R399" s="720"/>
      <c r="S399" s="720"/>
      <c r="T399" s="720"/>
      <c r="U399" s="720"/>
      <c r="V399" s="720"/>
      <c r="W399" s="720"/>
      <c r="X399" s="720"/>
      <c r="Y399" s="720"/>
      <c r="Z399" s="720"/>
      <c r="AA399" s="720"/>
      <c r="AB399" s="720"/>
    </row>
    <row r="400" spans="1:28" ht="12.75" customHeight="1">
      <c r="A400" s="902"/>
      <c r="B400" s="903"/>
      <c r="C400" s="720"/>
      <c r="D400" s="720"/>
      <c r="E400" s="720"/>
      <c r="F400" s="720"/>
      <c r="G400" s="906"/>
      <c r="H400" s="720"/>
      <c r="I400" s="720"/>
      <c r="J400" s="720"/>
      <c r="K400" s="907"/>
      <c r="L400" s="720"/>
      <c r="M400" s="720"/>
      <c r="N400" s="720"/>
      <c r="O400" s="720"/>
      <c r="P400" s="720"/>
      <c r="Q400" s="720"/>
      <c r="R400" s="720"/>
      <c r="S400" s="720"/>
      <c r="T400" s="720"/>
      <c r="U400" s="720"/>
      <c r="V400" s="720"/>
      <c r="W400" s="720"/>
      <c r="X400" s="720"/>
      <c r="Y400" s="720"/>
      <c r="Z400" s="720"/>
      <c r="AA400" s="720"/>
      <c r="AB400" s="720"/>
    </row>
    <row r="401" spans="1:28" ht="12.75" customHeight="1">
      <c r="A401" s="902"/>
      <c r="B401" s="903"/>
      <c r="C401" s="720"/>
      <c r="D401" s="720"/>
      <c r="E401" s="720"/>
      <c r="F401" s="720"/>
      <c r="G401" s="906"/>
      <c r="H401" s="720"/>
      <c r="I401" s="720"/>
      <c r="J401" s="720"/>
      <c r="K401" s="907"/>
      <c r="L401" s="720"/>
      <c r="M401" s="720"/>
      <c r="N401" s="720"/>
      <c r="O401" s="720"/>
      <c r="P401" s="720"/>
      <c r="Q401" s="720"/>
      <c r="R401" s="720"/>
      <c r="S401" s="720"/>
      <c r="T401" s="720"/>
      <c r="U401" s="720"/>
      <c r="V401" s="720"/>
      <c r="W401" s="720"/>
      <c r="X401" s="720"/>
      <c r="Y401" s="720"/>
      <c r="Z401" s="720"/>
      <c r="AA401" s="720"/>
      <c r="AB401" s="720"/>
    </row>
    <row r="402" spans="1:28" ht="12.75" customHeight="1">
      <c r="A402" s="902"/>
      <c r="B402" s="903"/>
      <c r="C402" s="720"/>
      <c r="D402" s="720"/>
      <c r="E402" s="720"/>
      <c r="F402" s="720"/>
      <c r="G402" s="906"/>
      <c r="H402" s="720"/>
      <c r="I402" s="720"/>
      <c r="J402" s="720"/>
      <c r="K402" s="907"/>
      <c r="L402" s="720"/>
      <c r="M402" s="720"/>
      <c r="N402" s="720"/>
      <c r="O402" s="720"/>
      <c r="P402" s="720"/>
      <c r="Q402" s="720"/>
      <c r="R402" s="720"/>
      <c r="S402" s="720"/>
      <c r="T402" s="720"/>
      <c r="U402" s="720"/>
      <c r="V402" s="720"/>
      <c r="W402" s="720"/>
      <c r="X402" s="720"/>
      <c r="Y402" s="720"/>
      <c r="Z402" s="720"/>
      <c r="AA402" s="720"/>
      <c r="AB402" s="720"/>
    </row>
    <row r="403" spans="1:28" ht="12.75" customHeight="1">
      <c r="A403" s="902"/>
      <c r="B403" s="903"/>
      <c r="C403" s="720"/>
      <c r="D403" s="720"/>
      <c r="E403" s="720"/>
      <c r="F403" s="720"/>
      <c r="G403" s="906"/>
      <c r="H403" s="720"/>
      <c r="I403" s="720"/>
      <c r="J403" s="720"/>
      <c r="K403" s="907"/>
      <c r="L403" s="720"/>
      <c r="M403" s="720"/>
      <c r="N403" s="720"/>
      <c r="O403" s="720"/>
      <c r="P403" s="720"/>
      <c r="Q403" s="720"/>
      <c r="R403" s="720"/>
      <c r="S403" s="720"/>
      <c r="T403" s="720"/>
      <c r="U403" s="720"/>
      <c r="V403" s="720"/>
      <c r="W403" s="720"/>
      <c r="X403" s="720"/>
      <c r="Y403" s="720"/>
      <c r="Z403" s="720"/>
      <c r="AA403" s="720"/>
      <c r="AB403" s="720"/>
    </row>
    <row r="404" spans="1:28" ht="12.75" customHeight="1">
      <c r="A404" s="902"/>
      <c r="B404" s="903"/>
      <c r="C404" s="720"/>
      <c r="D404" s="720"/>
      <c r="E404" s="720"/>
      <c r="F404" s="720"/>
      <c r="G404" s="906"/>
      <c r="H404" s="720"/>
      <c r="I404" s="720"/>
      <c r="J404" s="720"/>
      <c r="K404" s="907"/>
      <c r="L404" s="720"/>
      <c r="M404" s="720"/>
      <c r="N404" s="720"/>
      <c r="O404" s="720"/>
      <c r="P404" s="720"/>
      <c r="Q404" s="720"/>
      <c r="R404" s="720"/>
      <c r="S404" s="720"/>
      <c r="T404" s="720"/>
      <c r="U404" s="720"/>
      <c r="V404" s="720"/>
      <c r="W404" s="720"/>
      <c r="X404" s="720"/>
      <c r="Y404" s="720"/>
      <c r="Z404" s="720"/>
      <c r="AA404" s="720"/>
      <c r="AB404" s="720"/>
    </row>
    <row r="405" spans="1:28" ht="12.75" customHeight="1">
      <c r="A405" s="902"/>
      <c r="B405" s="903"/>
      <c r="C405" s="720"/>
      <c r="D405" s="720"/>
      <c r="E405" s="720"/>
      <c r="F405" s="720"/>
      <c r="G405" s="906"/>
      <c r="H405" s="720"/>
      <c r="I405" s="720"/>
      <c r="J405" s="720"/>
      <c r="K405" s="907"/>
      <c r="L405" s="720"/>
      <c r="M405" s="720"/>
      <c r="N405" s="720"/>
      <c r="O405" s="720"/>
      <c r="P405" s="720"/>
      <c r="Q405" s="720"/>
      <c r="R405" s="720"/>
      <c r="S405" s="720"/>
      <c r="T405" s="720"/>
      <c r="U405" s="720"/>
      <c r="V405" s="720"/>
      <c r="W405" s="720"/>
      <c r="X405" s="720"/>
      <c r="Y405" s="720"/>
      <c r="Z405" s="720"/>
      <c r="AA405" s="720"/>
      <c r="AB405" s="720"/>
    </row>
    <row r="406" spans="1:28" ht="12.75" customHeight="1">
      <c r="A406" s="902"/>
      <c r="B406" s="903"/>
      <c r="C406" s="720"/>
      <c r="D406" s="720"/>
      <c r="E406" s="720"/>
      <c r="F406" s="720"/>
      <c r="G406" s="906"/>
      <c r="H406" s="720"/>
      <c r="I406" s="720"/>
      <c r="J406" s="720"/>
      <c r="K406" s="907"/>
      <c r="L406" s="720"/>
      <c r="M406" s="720"/>
      <c r="N406" s="720"/>
      <c r="O406" s="720"/>
      <c r="P406" s="720"/>
      <c r="Q406" s="720"/>
      <c r="R406" s="720"/>
      <c r="S406" s="720"/>
      <c r="T406" s="720"/>
      <c r="U406" s="720"/>
      <c r="V406" s="720"/>
      <c r="W406" s="720"/>
      <c r="X406" s="720"/>
      <c r="Y406" s="720"/>
      <c r="Z406" s="720"/>
      <c r="AA406" s="720"/>
      <c r="AB406" s="720"/>
    </row>
    <row r="407" spans="1:28" ht="12.75" customHeight="1">
      <c r="A407" s="902"/>
      <c r="B407" s="903"/>
      <c r="C407" s="720"/>
      <c r="D407" s="720"/>
      <c r="E407" s="720"/>
      <c r="F407" s="720"/>
      <c r="G407" s="906"/>
      <c r="H407" s="720"/>
      <c r="I407" s="720"/>
      <c r="J407" s="720"/>
      <c r="K407" s="907"/>
      <c r="L407" s="720"/>
      <c r="M407" s="720"/>
      <c r="N407" s="720"/>
      <c r="O407" s="720"/>
      <c r="P407" s="720"/>
      <c r="Q407" s="720"/>
      <c r="R407" s="720"/>
      <c r="S407" s="720"/>
      <c r="T407" s="720"/>
      <c r="U407" s="720"/>
      <c r="V407" s="720"/>
      <c r="W407" s="720"/>
      <c r="X407" s="720"/>
      <c r="Y407" s="720"/>
      <c r="Z407" s="720"/>
      <c r="AA407" s="720"/>
      <c r="AB407" s="720"/>
    </row>
    <row r="408" spans="1:28" ht="12.75" customHeight="1">
      <c r="A408" s="902"/>
      <c r="B408" s="903"/>
      <c r="C408" s="720"/>
      <c r="D408" s="720"/>
      <c r="E408" s="720"/>
      <c r="F408" s="720"/>
      <c r="G408" s="906"/>
      <c r="H408" s="720"/>
      <c r="I408" s="720"/>
      <c r="J408" s="720"/>
      <c r="K408" s="907"/>
      <c r="L408" s="720"/>
      <c r="M408" s="720"/>
      <c r="N408" s="720"/>
      <c r="O408" s="720"/>
      <c r="P408" s="720"/>
      <c r="Q408" s="720"/>
      <c r="R408" s="720"/>
      <c r="S408" s="720"/>
      <c r="T408" s="720"/>
      <c r="U408" s="720"/>
      <c r="V408" s="720"/>
      <c r="W408" s="720"/>
      <c r="X408" s="720"/>
      <c r="Y408" s="720"/>
      <c r="Z408" s="720"/>
      <c r="AA408" s="720"/>
      <c r="AB408" s="720"/>
    </row>
    <row r="409" spans="1:28" ht="12.75" customHeight="1">
      <c r="A409" s="902"/>
      <c r="B409" s="903"/>
      <c r="C409" s="720"/>
      <c r="D409" s="720"/>
      <c r="E409" s="720"/>
      <c r="F409" s="720"/>
      <c r="G409" s="906"/>
      <c r="H409" s="720"/>
      <c r="I409" s="720"/>
      <c r="J409" s="720"/>
      <c r="K409" s="907"/>
      <c r="L409" s="720"/>
      <c r="M409" s="720"/>
      <c r="N409" s="720"/>
      <c r="O409" s="720"/>
      <c r="P409" s="720"/>
      <c r="Q409" s="720"/>
      <c r="R409" s="720"/>
      <c r="S409" s="720"/>
      <c r="T409" s="720"/>
      <c r="U409" s="720"/>
      <c r="V409" s="720"/>
      <c r="W409" s="720"/>
      <c r="X409" s="720"/>
      <c r="Y409" s="720"/>
      <c r="Z409" s="720"/>
      <c r="AA409" s="720"/>
      <c r="AB409" s="720"/>
    </row>
    <row r="410" spans="1:28" ht="12.75" customHeight="1">
      <c r="A410" s="902"/>
      <c r="B410" s="903"/>
      <c r="C410" s="720"/>
      <c r="D410" s="720"/>
      <c r="E410" s="720"/>
      <c r="F410" s="720"/>
      <c r="G410" s="906"/>
      <c r="H410" s="720"/>
      <c r="I410" s="720"/>
      <c r="J410" s="720"/>
      <c r="K410" s="907"/>
      <c r="L410" s="720"/>
      <c r="M410" s="720"/>
      <c r="N410" s="720"/>
      <c r="O410" s="720"/>
      <c r="P410" s="720"/>
      <c r="Q410" s="720"/>
      <c r="R410" s="720"/>
      <c r="S410" s="720"/>
      <c r="T410" s="720"/>
      <c r="U410" s="720"/>
      <c r="V410" s="720"/>
      <c r="W410" s="720"/>
      <c r="X410" s="720"/>
      <c r="Y410" s="720"/>
      <c r="Z410" s="720"/>
      <c r="AA410" s="720"/>
      <c r="AB410" s="720"/>
    </row>
    <row r="411" spans="1:28" ht="12.75" customHeight="1">
      <c r="A411" s="902"/>
      <c r="B411" s="903"/>
      <c r="C411" s="720"/>
      <c r="D411" s="720"/>
      <c r="E411" s="720"/>
      <c r="F411" s="720"/>
      <c r="G411" s="906"/>
      <c r="H411" s="720"/>
      <c r="I411" s="720"/>
      <c r="J411" s="720"/>
      <c r="K411" s="907"/>
      <c r="L411" s="720"/>
      <c r="M411" s="720"/>
      <c r="N411" s="720"/>
      <c r="O411" s="720"/>
      <c r="P411" s="720"/>
      <c r="Q411" s="720"/>
      <c r="R411" s="720"/>
      <c r="S411" s="720"/>
      <c r="T411" s="720"/>
      <c r="U411" s="720"/>
      <c r="V411" s="720"/>
      <c r="W411" s="720"/>
      <c r="X411" s="720"/>
      <c r="Y411" s="720"/>
      <c r="Z411" s="720"/>
      <c r="AA411" s="720"/>
      <c r="AB411" s="720"/>
    </row>
    <row r="412" spans="1:28" ht="12.75" customHeight="1">
      <c r="A412" s="902"/>
      <c r="B412" s="903"/>
      <c r="C412" s="720"/>
      <c r="D412" s="720"/>
      <c r="E412" s="720"/>
      <c r="F412" s="720"/>
      <c r="G412" s="906"/>
      <c r="H412" s="720"/>
      <c r="I412" s="720"/>
      <c r="J412" s="720"/>
      <c r="K412" s="907"/>
      <c r="L412" s="720"/>
      <c r="M412" s="720"/>
      <c r="N412" s="720"/>
      <c r="O412" s="720"/>
      <c r="P412" s="720"/>
      <c r="Q412" s="720"/>
      <c r="R412" s="720"/>
      <c r="S412" s="720"/>
      <c r="T412" s="720"/>
      <c r="U412" s="720"/>
      <c r="V412" s="720"/>
      <c r="W412" s="720"/>
      <c r="X412" s="720"/>
      <c r="Y412" s="720"/>
      <c r="Z412" s="720"/>
      <c r="AA412" s="720"/>
      <c r="AB412" s="720"/>
    </row>
    <row r="413" spans="1:28" ht="12.75" customHeight="1">
      <c r="A413" s="902"/>
      <c r="B413" s="903"/>
      <c r="C413" s="720"/>
      <c r="D413" s="720"/>
      <c r="E413" s="720"/>
      <c r="F413" s="720"/>
      <c r="G413" s="906"/>
      <c r="H413" s="720"/>
      <c r="I413" s="720"/>
      <c r="J413" s="720"/>
      <c r="K413" s="907"/>
      <c r="L413" s="720"/>
      <c r="M413" s="720"/>
      <c r="N413" s="720"/>
      <c r="O413" s="720"/>
      <c r="P413" s="720"/>
      <c r="Q413" s="720"/>
      <c r="R413" s="720"/>
      <c r="S413" s="720"/>
      <c r="T413" s="720"/>
      <c r="U413" s="720"/>
      <c r="V413" s="720"/>
      <c r="W413" s="720"/>
      <c r="X413" s="720"/>
      <c r="Y413" s="720"/>
      <c r="Z413" s="720"/>
      <c r="AA413" s="720"/>
      <c r="AB413" s="720"/>
    </row>
    <row r="414" spans="1:28" ht="12.75" customHeight="1">
      <c r="A414" s="902"/>
      <c r="B414" s="903"/>
      <c r="C414" s="720"/>
      <c r="D414" s="720"/>
      <c r="E414" s="720"/>
      <c r="F414" s="720"/>
      <c r="G414" s="906"/>
      <c r="H414" s="720"/>
      <c r="I414" s="720"/>
      <c r="J414" s="720"/>
      <c r="K414" s="907"/>
      <c r="L414" s="720"/>
      <c r="M414" s="720"/>
      <c r="N414" s="720"/>
      <c r="O414" s="720"/>
      <c r="P414" s="720"/>
      <c r="Q414" s="720"/>
      <c r="R414" s="720"/>
      <c r="S414" s="720"/>
      <c r="T414" s="720"/>
      <c r="U414" s="720"/>
      <c r="V414" s="720"/>
      <c r="W414" s="720"/>
      <c r="X414" s="720"/>
      <c r="Y414" s="720"/>
      <c r="Z414" s="720"/>
      <c r="AA414" s="720"/>
      <c r="AB414" s="720"/>
    </row>
    <row r="415" spans="1:28" ht="12.75" customHeight="1">
      <c r="A415" s="902"/>
      <c r="B415" s="903"/>
      <c r="C415" s="720"/>
      <c r="D415" s="720"/>
      <c r="E415" s="720"/>
      <c r="F415" s="720"/>
      <c r="G415" s="906"/>
      <c r="H415" s="720"/>
      <c r="I415" s="720"/>
      <c r="J415" s="720"/>
      <c r="K415" s="907"/>
      <c r="L415" s="720"/>
      <c r="M415" s="720"/>
      <c r="N415" s="720"/>
      <c r="O415" s="720"/>
      <c r="P415" s="720"/>
      <c r="Q415" s="720"/>
      <c r="R415" s="720"/>
      <c r="S415" s="720"/>
      <c r="T415" s="720"/>
      <c r="U415" s="720"/>
      <c r="V415" s="720"/>
      <c r="W415" s="720"/>
      <c r="X415" s="720"/>
      <c r="Y415" s="720"/>
      <c r="Z415" s="720"/>
      <c r="AA415" s="720"/>
      <c r="AB415" s="720"/>
    </row>
    <row r="416" spans="1:28" ht="12.75" customHeight="1">
      <c r="A416" s="902"/>
      <c r="B416" s="903"/>
      <c r="C416" s="720"/>
      <c r="D416" s="720"/>
      <c r="E416" s="720"/>
      <c r="F416" s="720"/>
      <c r="G416" s="906"/>
      <c r="H416" s="720"/>
      <c r="I416" s="720"/>
      <c r="J416" s="720"/>
      <c r="K416" s="907"/>
      <c r="L416" s="720"/>
      <c r="M416" s="720"/>
      <c r="N416" s="720"/>
      <c r="O416" s="720"/>
      <c r="P416" s="720"/>
      <c r="Q416" s="720"/>
      <c r="R416" s="720"/>
      <c r="S416" s="720"/>
      <c r="T416" s="720"/>
      <c r="U416" s="720"/>
      <c r="V416" s="720"/>
      <c r="W416" s="720"/>
      <c r="X416" s="720"/>
      <c r="Y416" s="720"/>
      <c r="Z416" s="720"/>
      <c r="AA416" s="720"/>
      <c r="AB416" s="720"/>
    </row>
    <row r="417" spans="1:28" ht="12.75" customHeight="1">
      <c r="A417" s="902"/>
      <c r="B417" s="903"/>
      <c r="C417" s="720"/>
      <c r="D417" s="720"/>
      <c r="E417" s="720"/>
      <c r="F417" s="720"/>
      <c r="G417" s="906"/>
      <c r="H417" s="720"/>
      <c r="I417" s="720"/>
      <c r="J417" s="720"/>
      <c r="K417" s="907"/>
      <c r="L417" s="720"/>
      <c r="M417" s="720"/>
      <c r="N417" s="720"/>
      <c r="O417" s="720"/>
      <c r="P417" s="720"/>
      <c r="Q417" s="720"/>
      <c r="R417" s="720"/>
      <c r="S417" s="720"/>
      <c r="T417" s="720"/>
      <c r="U417" s="720"/>
      <c r="V417" s="720"/>
      <c r="W417" s="720"/>
      <c r="X417" s="720"/>
      <c r="Y417" s="720"/>
      <c r="Z417" s="720"/>
      <c r="AA417" s="720"/>
      <c r="AB417" s="720"/>
    </row>
    <row r="418" spans="1:28" ht="12.75" customHeight="1">
      <c r="A418" s="902"/>
      <c r="B418" s="903"/>
      <c r="C418" s="720"/>
      <c r="D418" s="720"/>
      <c r="E418" s="720"/>
      <c r="F418" s="720"/>
      <c r="G418" s="906"/>
      <c r="H418" s="720"/>
      <c r="I418" s="720"/>
      <c r="J418" s="720"/>
      <c r="K418" s="907"/>
      <c r="L418" s="720"/>
      <c r="M418" s="720"/>
      <c r="N418" s="720"/>
      <c r="O418" s="720"/>
      <c r="P418" s="720"/>
      <c r="Q418" s="720"/>
      <c r="R418" s="720"/>
      <c r="S418" s="720"/>
      <c r="T418" s="720"/>
      <c r="U418" s="720"/>
      <c r="V418" s="720"/>
      <c r="W418" s="720"/>
      <c r="X418" s="720"/>
      <c r="Y418" s="720"/>
      <c r="Z418" s="720"/>
      <c r="AA418" s="720"/>
      <c r="AB418" s="720"/>
    </row>
    <row r="419" spans="1:28" ht="12.75" customHeight="1">
      <c r="A419" s="902"/>
      <c r="B419" s="903"/>
      <c r="C419" s="720"/>
      <c r="D419" s="720"/>
      <c r="E419" s="720"/>
      <c r="F419" s="720"/>
      <c r="G419" s="906"/>
      <c r="H419" s="720"/>
      <c r="I419" s="720"/>
      <c r="J419" s="720"/>
      <c r="K419" s="907"/>
      <c r="L419" s="720"/>
      <c r="M419" s="720"/>
      <c r="N419" s="720"/>
      <c r="O419" s="720"/>
      <c r="P419" s="720"/>
      <c r="Q419" s="720"/>
      <c r="R419" s="720"/>
      <c r="S419" s="720"/>
      <c r="T419" s="720"/>
      <c r="U419" s="720"/>
      <c r="V419" s="720"/>
      <c r="W419" s="720"/>
      <c r="X419" s="720"/>
      <c r="Y419" s="720"/>
      <c r="Z419" s="720"/>
      <c r="AA419" s="720"/>
      <c r="AB419" s="720"/>
    </row>
    <row r="420" spans="1:28" ht="12.75" customHeight="1">
      <c r="A420" s="902"/>
      <c r="B420" s="903"/>
      <c r="C420" s="720"/>
      <c r="D420" s="720"/>
      <c r="E420" s="720"/>
      <c r="F420" s="720"/>
      <c r="G420" s="906"/>
      <c r="H420" s="720"/>
      <c r="I420" s="720"/>
      <c r="J420" s="720"/>
      <c r="K420" s="907"/>
      <c r="L420" s="720"/>
      <c r="M420" s="720"/>
      <c r="N420" s="720"/>
      <c r="O420" s="720"/>
      <c r="P420" s="720"/>
      <c r="Q420" s="720"/>
      <c r="R420" s="720"/>
      <c r="S420" s="720"/>
      <c r="T420" s="720"/>
      <c r="U420" s="720"/>
      <c r="V420" s="720"/>
      <c r="W420" s="720"/>
      <c r="X420" s="720"/>
      <c r="Y420" s="720"/>
      <c r="Z420" s="720"/>
      <c r="AA420" s="720"/>
      <c r="AB420" s="720"/>
    </row>
    <row r="421" spans="1:28" ht="12.75" customHeight="1">
      <c r="A421" s="902"/>
      <c r="B421" s="903"/>
      <c r="C421" s="720"/>
      <c r="D421" s="720"/>
      <c r="E421" s="720"/>
      <c r="F421" s="720"/>
      <c r="G421" s="906"/>
      <c r="H421" s="720"/>
      <c r="I421" s="720"/>
      <c r="J421" s="720"/>
      <c r="K421" s="907"/>
      <c r="L421" s="720"/>
      <c r="M421" s="720"/>
      <c r="N421" s="720"/>
      <c r="O421" s="720"/>
      <c r="P421" s="720"/>
      <c r="Q421" s="720"/>
      <c r="R421" s="720"/>
      <c r="S421" s="720"/>
      <c r="T421" s="720"/>
      <c r="U421" s="720"/>
      <c r="V421" s="720"/>
      <c r="W421" s="720"/>
      <c r="X421" s="720"/>
      <c r="Y421" s="720"/>
      <c r="Z421" s="720"/>
      <c r="AA421" s="720"/>
      <c r="AB421" s="720"/>
    </row>
    <row r="422" spans="1:28" ht="12.75" customHeight="1">
      <c r="A422" s="902"/>
      <c r="B422" s="903"/>
      <c r="C422" s="720"/>
      <c r="D422" s="720"/>
      <c r="E422" s="720"/>
      <c r="F422" s="720"/>
      <c r="G422" s="906"/>
      <c r="H422" s="720"/>
      <c r="I422" s="720"/>
      <c r="J422" s="720"/>
      <c r="K422" s="907"/>
      <c r="L422" s="720"/>
      <c r="M422" s="720"/>
      <c r="N422" s="720"/>
      <c r="O422" s="720"/>
      <c r="P422" s="720"/>
      <c r="Q422" s="720"/>
      <c r="R422" s="720"/>
      <c r="S422" s="720"/>
      <c r="T422" s="720"/>
      <c r="U422" s="720"/>
      <c r="V422" s="720"/>
      <c r="W422" s="720"/>
      <c r="X422" s="720"/>
      <c r="Y422" s="720"/>
      <c r="Z422" s="720"/>
      <c r="AA422" s="720"/>
      <c r="AB422" s="720"/>
    </row>
    <row r="423" spans="1:28" ht="12.75" customHeight="1">
      <c r="A423" s="902"/>
      <c r="B423" s="903"/>
      <c r="C423" s="720"/>
      <c r="D423" s="720"/>
      <c r="E423" s="720"/>
      <c r="F423" s="720"/>
      <c r="G423" s="906"/>
      <c r="H423" s="720"/>
      <c r="I423" s="720"/>
      <c r="J423" s="720"/>
      <c r="K423" s="907"/>
      <c r="L423" s="720"/>
      <c r="M423" s="720"/>
      <c r="N423" s="720"/>
      <c r="O423" s="720"/>
      <c r="P423" s="720"/>
      <c r="Q423" s="720"/>
      <c r="R423" s="720"/>
      <c r="S423" s="720"/>
      <c r="T423" s="720"/>
      <c r="U423" s="720"/>
      <c r="V423" s="720"/>
      <c r="W423" s="720"/>
      <c r="X423" s="720"/>
      <c r="Y423" s="720"/>
      <c r="Z423" s="720"/>
      <c r="AA423" s="720"/>
      <c r="AB423" s="720"/>
    </row>
    <row r="424" spans="1:28" ht="12.75" customHeight="1">
      <c r="A424" s="902"/>
      <c r="B424" s="903"/>
      <c r="C424" s="720"/>
      <c r="D424" s="720"/>
      <c r="E424" s="720"/>
      <c r="F424" s="720"/>
      <c r="G424" s="906"/>
      <c r="H424" s="720"/>
      <c r="I424" s="720"/>
      <c r="J424" s="720"/>
      <c r="K424" s="907"/>
      <c r="L424" s="720"/>
      <c r="M424" s="720"/>
      <c r="N424" s="720"/>
      <c r="O424" s="720"/>
      <c r="P424" s="720"/>
      <c r="Q424" s="720"/>
      <c r="R424" s="720"/>
      <c r="S424" s="720"/>
      <c r="T424" s="720"/>
      <c r="U424" s="720"/>
      <c r="V424" s="720"/>
      <c r="W424" s="720"/>
      <c r="X424" s="720"/>
      <c r="Y424" s="720"/>
      <c r="Z424" s="720"/>
      <c r="AA424" s="720"/>
      <c r="AB424" s="720"/>
    </row>
    <row r="425" spans="1:28" ht="12.75" customHeight="1">
      <c r="A425" s="902"/>
      <c r="B425" s="903"/>
      <c r="C425" s="720"/>
      <c r="D425" s="720"/>
      <c r="E425" s="720"/>
      <c r="F425" s="720"/>
      <c r="G425" s="906"/>
      <c r="H425" s="720"/>
      <c r="I425" s="720"/>
      <c r="J425" s="720"/>
      <c r="K425" s="907"/>
      <c r="L425" s="720"/>
      <c r="M425" s="720"/>
      <c r="N425" s="720"/>
      <c r="O425" s="720"/>
      <c r="P425" s="720"/>
      <c r="Q425" s="720"/>
      <c r="R425" s="720"/>
      <c r="S425" s="720"/>
      <c r="T425" s="720"/>
      <c r="U425" s="720"/>
      <c r="V425" s="720"/>
      <c r="W425" s="720"/>
      <c r="X425" s="720"/>
      <c r="Y425" s="720"/>
      <c r="Z425" s="720"/>
      <c r="AA425" s="720"/>
      <c r="AB425" s="720"/>
    </row>
    <row r="426" spans="1:28" ht="12.75" customHeight="1">
      <c r="A426" s="902"/>
      <c r="B426" s="903"/>
      <c r="C426" s="720"/>
      <c r="D426" s="720"/>
      <c r="E426" s="720"/>
      <c r="F426" s="720"/>
      <c r="G426" s="906"/>
      <c r="H426" s="720"/>
      <c r="I426" s="720"/>
      <c r="J426" s="720"/>
      <c r="K426" s="907"/>
      <c r="L426" s="720"/>
      <c r="M426" s="720"/>
      <c r="N426" s="720"/>
      <c r="O426" s="720"/>
      <c r="P426" s="720"/>
      <c r="Q426" s="720"/>
      <c r="R426" s="720"/>
      <c r="S426" s="720"/>
      <c r="T426" s="720"/>
      <c r="U426" s="720"/>
      <c r="V426" s="720"/>
      <c r="W426" s="720"/>
      <c r="X426" s="720"/>
      <c r="Y426" s="720"/>
      <c r="Z426" s="720"/>
      <c r="AA426" s="720"/>
      <c r="AB426" s="720"/>
    </row>
    <row r="427" spans="1:28" ht="12.75" customHeight="1">
      <c r="A427" s="902"/>
      <c r="B427" s="903"/>
      <c r="C427" s="720"/>
      <c r="D427" s="720"/>
      <c r="E427" s="720"/>
      <c r="F427" s="720"/>
      <c r="G427" s="906"/>
      <c r="H427" s="720"/>
      <c r="I427" s="720"/>
      <c r="J427" s="720"/>
      <c r="K427" s="907"/>
      <c r="L427" s="720"/>
      <c r="M427" s="720"/>
      <c r="N427" s="720"/>
      <c r="O427" s="720"/>
      <c r="P427" s="720"/>
      <c r="Q427" s="720"/>
      <c r="R427" s="720"/>
      <c r="S427" s="720"/>
      <c r="T427" s="720"/>
      <c r="U427" s="720"/>
      <c r="V427" s="720"/>
      <c r="W427" s="720"/>
      <c r="X427" s="720"/>
      <c r="Y427" s="720"/>
      <c r="Z427" s="720"/>
      <c r="AA427" s="720"/>
      <c r="AB427" s="720"/>
    </row>
    <row r="428" spans="1:28" ht="12.75" customHeight="1">
      <c r="A428" s="902"/>
      <c r="B428" s="903"/>
      <c r="C428" s="720"/>
      <c r="D428" s="720"/>
      <c r="E428" s="720"/>
      <c r="F428" s="720"/>
      <c r="G428" s="906"/>
      <c r="H428" s="720"/>
      <c r="I428" s="720"/>
      <c r="J428" s="720"/>
      <c r="K428" s="907"/>
      <c r="L428" s="720"/>
      <c r="M428" s="720"/>
      <c r="N428" s="720"/>
      <c r="O428" s="720"/>
      <c r="P428" s="720"/>
      <c r="Q428" s="720"/>
      <c r="R428" s="720"/>
      <c r="S428" s="720"/>
      <c r="T428" s="720"/>
      <c r="U428" s="720"/>
      <c r="V428" s="720"/>
      <c r="W428" s="720"/>
      <c r="X428" s="720"/>
      <c r="Y428" s="720"/>
      <c r="Z428" s="720"/>
      <c r="AA428" s="720"/>
      <c r="AB428" s="720"/>
    </row>
    <row r="429" spans="1:28" ht="12.75" customHeight="1">
      <c r="A429" s="902"/>
      <c r="B429" s="903"/>
      <c r="C429" s="720"/>
      <c r="D429" s="720"/>
      <c r="E429" s="720"/>
      <c r="F429" s="720"/>
      <c r="G429" s="906"/>
      <c r="H429" s="720"/>
      <c r="I429" s="720"/>
      <c r="J429" s="720"/>
      <c r="K429" s="907"/>
      <c r="L429" s="720"/>
      <c r="M429" s="720"/>
      <c r="N429" s="720"/>
      <c r="O429" s="720"/>
      <c r="P429" s="720"/>
      <c r="Q429" s="720"/>
      <c r="R429" s="720"/>
      <c r="S429" s="720"/>
      <c r="T429" s="720"/>
      <c r="U429" s="720"/>
      <c r="V429" s="720"/>
      <c r="W429" s="720"/>
      <c r="X429" s="720"/>
      <c r="Y429" s="720"/>
      <c r="Z429" s="720"/>
      <c r="AA429" s="720"/>
      <c r="AB429" s="720"/>
    </row>
    <row r="430" spans="1:28" ht="12.75" customHeight="1">
      <c r="A430" s="902"/>
      <c r="B430" s="903"/>
      <c r="C430" s="720"/>
      <c r="D430" s="720"/>
      <c r="E430" s="720"/>
      <c r="F430" s="720"/>
      <c r="G430" s="906"/>
      <c r="H430" s="720"/>
      <c r="I430" s="720"/>
      <c r="J430" s="720"/>
      <c r="K430" s="907"/>
      <c r="L430" s="720"/>
      <c r="M430" s="720"/>
      <c r="N430" s="720"/>
      <c r="O430" s="720"/>
      <c r="P430" s="720"/>
      <c r="Q430" s="720"/>
      <c r="R430" s="720"/>
      <c r="S430" s="720"/>
      <c r="T430" s="720"/>
      <c r="U430" s="720"/>
      <c r="V430" s="720"/>
      <c r="W430" s="720"/>
      <c r="X430" s="720"/>
      <c r="Y430" s="720"/>
      <c r="Z430" s="720"/>
      <c r="AA430" s="720"/>
      <c r="AB430" s="720"/>
    </row>
    <row r="431" spans="1:28" ht="12.75" customHeight="1">
      <c r="A431" s="902"/>
      <c r="B431" s="903"/>
      <c r="C431" s="720"/>
      <c r="D431" s="720"/>
      <c r="E431" s="720"/>
      <c r="F431" s="720"/>
      <c r="G431" s="906"/>
      <c r="H431" s="720"/>
      <c r="I431" s="720"/>
      <c r="J431" s="720"/>
      <c r="K431" s="907"/>
      <c r="L431" s="720"/>
      <c r="M431" s="720"/>
      <c r="N431" s="720"/>
      <c r="O431" s="720"/>
      <c r="P431" s="720"/>
      <c r="Q431" s="720"/>
      <c r="R431" s="720"/>
      <c r="S431" s="720"/>
      <c r="T431" s="720"/>
      <c r="U431" s="720"/>
      <c r="V431" s="720"/>
      <c r="W431" s="720"/>
      <c r="X431" s="720"/>
      <c r="Y431" s="720"/>
      <c r="Z431" s="720"/>
      <c r="AA431" s="720"/>
      <c r="AB431" s="720"/>
    </row>
    <row r="432" spans="1:28" ht="12.75" customHeight="1">
      <c r="A432" s="902"/>
      <c r="B432" s="903"/>
      <c r="C432" s="720"/>
      <c r="D432" s="720"/>
      <c r="E432" s="720"/>
      <c r="F432" s="720"/>
      <c r="G432" s="906"/>
      <c r="H432" s="720"/>
      <c r="I432" s="720"/>
      <c r="J432" s="720"/>
      <c r="K432" s="907"/>
      <c r="L432" s="720"/>
      <c r="M432" s="720"/>
      <c r="N432" s="720"/>
      <c r="O432" s="720"/>
      <c r="P432" s="720"/>
      <c r="Q432" s="720"/>
      <c r="R432" s="720"/>
      <c r="S432" s="720"/>
      <c r="T432" s="720"/>
      <c r="U432" s="720"/>
      <c r="V432" s="720"/>
      <c r="W432" s="720"/>
      <c r="X432" s="720"/>
      <c r="Y432" s="720"/>
      <c r="Z432" s="720"/>
      <c r="AA432" s="720"/>
      <c r="AB432" s="720"/>
    </row>
    <row r="433" spans="1:28" ht="12.75" customHeight="1">
      <c r="A433" s="902"/>
      <c r="B433" s="903"/>
      <c r="C433" s="720"/>
      <c r="D433" s="720"/>
      <c r="E433" s="720"/>
      <c r="F433" s="720"/>
      <c r="G433" s="906"/>
      <c r="H433" s="720"/>
      <c r="I433" s="720"/>
      <c r="J433" s="720"/>
      <c r="K433" s="907"/>
      <c r="L433" s="720"/>
      <c r="M433" s="720"/>
      <c r="N433" s="720"/>
      <c r="O433" s="720"/>
      <c r="P433" s="720"/>
      <c r="Q433" s="720"/>
      <c r="R433" s="720"/>
      <c r="S433" s="720"/>
      <c r="T433" s="720"/>
      <c r="U433" s="720"/>
      <c r="V433" s="720"/>
      <c r="W433" s="720"/>
      <c r="X433" s="720"/>
      <c r="Y433" s="720"/>
      <c r="Z433" s="720"/>
      <c r="AA433" s="720"/>
      <c r="AB433" s="720"/>
    </row>
    <row r="434" spans="1:28" ht="12.75" customHeight="1">
      <c r="A434" s="902"/>
      <c r="B434" s="903"/>
      <c r="C434" s="720"/>
      <c r="D434" s="720"/>
      <c r="E434" s="720"/>
      <c r="F434" s="720"/>
      <c r="G434" s="906"/>
      <c r="H434" s="720"/>
      <c r="I434" s="720"/>
      <c r="J434" s="720"/>
      <c r="K434" s="907"/>
      <c r="L434" s="720"/>
      <c r="M434" s="720"/>
      <c r="N434" s="720"/>
      <c r="O434" s="720"/>
      <c r="P434" s="720"/>
      <c r="Q434" s="720"/>
      <c r="R434" s="720"/>
      <c r="S434" s="720"/>
      <c r="T434" s="720"/>
      <c r="U434" s="720"/>
      <c r="V434" s="720"/>
      <c r="W434" s="720"/>
      <c r="X434" s="720"/>
      <c r="Y434" s="720"/>
      <c r="Z434" s="720"/>
      <c r="AA434" s="720"/>
      <c r="AB434" s="720"/>
    </row>
    <row r="435" spans="1:28" ht="12.75" customHeight="1">
      <c r="A435" s="902"/>
      <c r="B435" s="903"/>
      <c r="C435" s="720"/>
      <c r="D435" s="720"/>
      <c r="E435" s="720"/>
      <c r="F435" s="720"/>
      <c r="G435" s="906"/>
      <c r="H435" s="720"/>
      <c r="I435" s="720"/>
      <c r="J435" s="720"/>
      <c r="K435" s="907"/>
      <c r="L435" s="720"/>
      <c r="M435" s="720"/>
      <c r="N435" s="720"/>
      <c r="O435" s="720"/>
      <c r="P435" s="720"/>
      <c r="Q435" s="720"/>
      <c r="R435" s="720"/>
      <c r="S435" s="720"/>
      <c r="T435" s="720"/>
      <c r="U435" s="720"/>
      <c r="V435" s="720"/>
      <c r="W435" s="720"/>
      <c r="X435" s="720"/>
      <c r="Y435" s="720"/>
      <c r="Z435" s="720"/>
      <c r="AA435" s="720"/>
      <c r="AB435" s="720"/>
    </row>
    <row r="436" spans="1:28" ht="12.75" customHeight="1">
      <c r="A436" s="902"/>
      <c r="B436" s="903"/>
      <c r="C436" s="720"/>
      <c r="D436" s="720"/>
      <c r="E436" s="720"/>
      <c r="F436" s="720"/>
      <c r="G436" s="906"/>
      <c r="H436" s="720"/>
      <c r="I436" s="720"/>
      <c r="J436" s="720"/>
      <c r="K436" s="907"/>
      <c r="L436" s="720"/>
      <c r="M436" s="720"/>
      <c r="N436" s="720"/>
      <c r="O436" s="720"/>
      <c r="P436" s="720"/>
      <c r="Q436" s="720"/>
      <c r="R436" s="720"/>
      <c r="S436" s="720"/>
      <c r="T436" s="720"/>
      <c r="U436" s="720"/>
      <c r="V436" s="720"/>
      <c r="W436" s="720"/>
      <c r="X436" s="720"/>
      <c r="Y436" s="720"/>
      <c r="Z436" s="720"/>
      <c r="AA436" s="720"/>
      <c r="AB436" s="720"/>
    </row>
    <row r="437" spans="1:28" ht="12.75" customHeight="1">
      <c r="A437" s="902"/>
      <c r="B437" s="903"/>
      <c r="C437" s="720"/>
      <c r="D437" s="720"/>
      <c r="E437" s="720"/>
      <c r="F437" s="720"/>
      <c r="G437" s="906"/>
      <c r="H437" s="720"/>
      <c r="I437" s="720"/>
      <c r="J437" s="720"/>
      <c r="K437" s="907"/>
      <c r="L437" s="720"/>
      <c r="M437" s="720"/>
      <c r="N437" s="720"/>
      <c r="O437" s="720"/>
      <c r="P437" s="720"/>
      <c r="Q437" s="720"/>
      <c r="R437" s="720"/>
      <c r="S437" s="720"/>
      <c r="T437" s="720"/>
      <c r="U437" s="720"/>
      <c r="V437" s="720"/>
      <c r="W437" s="720"/>
      <c r="X437" s="720"/>
      <c r="Y437" s="720"/>
      <c r="Z437" s="720"/>
      <c r="AA437" s="720"/>
      <c r="AB437" s="720"/>
    </row>
    <row r="438" spans="1:28" ht="12.75" customHeight="1">
      <c r="A438" s="902"/>
      <c r="B438" s="903"/>
      <c r="C438" s="720"/>
      <c r="D438" s="720"/>
      <c r="E438" s="720"/>
      <c r="F438" s="720"/>
      <c r="G438" s="906"/>
      <c r="H438" s="720"/>
      <c r="I438" s="720"/>
      <c r="J438" s="720"/>
      <c r="K438" s="907"/>
      <c r="L438" s="720"/>
      <c r="M438" s="720"/>
      <c r="N438" s="720"/>
      <c r="O438" s="720"/>
      <c r="P438" s="720"/>
      <c r="Q438" s="720"/>
      <c r="R438" s="720"/>
      <c r="S438" s="720"/>
      <c r="T438" s="720"/>
      <c r="U438" s="720"/>
      <c r="V438" s="720"/>
      <c r="W438" s="720"/>
      <c r="X438" s="720"/>
      <c r="Y438" s="720"/>
      <c r="Z438" s="720"/>
      <c r="AA438" s="720"/>
      <c r="AB438" s="720"/>
    </row>
    <row r="439" spans="1:28" ht="12.75" customHeight="1">
      <c r="A439" s="902"/>
      <c r="B439" s="903"/>
      <c r="C439" s="720"/>
      <c r="D439" s="720"/>
      <c r="E439" s="720"/>
      <c r="F439" s="720"/>
      <c r="G439" s="906"/>
      <c r="H439" s="720"/>
      <c r="I439" s="720"/>
      <c r="J439" s="720"/>
      <c r="K439" s="907"/>
      <c r="L439" s="720"/>
      <c r="M439" s="720"/>
      <c r="N439" s="720"/>
      <c r="O439" s="720"/>
      <c r="P439" s="720"/>
      <c r="Q439" s="720"/>
      <c r="R439" s="720"/>
      <c r="S439" s="720"/>
      <c r="T439" s="720"/>
      <c r="U439" s="720"/>
      <c r="V439" s="720"/>
      <c r="W439" s="720"/>
      <c r="X439" s="720"/>
      <c r="Y439" s="720"/>
      <c r="Z439" s="720"/>
      <c r="AA439" s="720"/>
      <c r="AB439" s="720"/>
    </row>
    <row r="440" spans="1:28" ht="12.75" customHeight="1">
      <c r="A440" s="902"/>
      <c r="B440" s="903"/>
      <c r="C440" s="720"/>
      <c r="D440" s="720"/>
      <c r="E440" s="720"/>
      <c r="F440" s="720"/>
      <c r="G440" s="906"/>
      <c r="H440" s="720"/>
      <c r="I440" s="720"/>
      <c r="J440" s="720"/>
      <c r="K440" s="907"/>
      <c r="L440" s="720"/>
      <c r="M440" s="720"/>
      <c r="N440" s="720"/>
      <c r="O440" s="720"/>
      <c r="P440" s="720"/>
      <c r="Q440" s="720"/>
      <c r="R440" s="720"/>
      <c r="S440" s="720"/>
      <c r="T440" s="720"/>
      <c r="U440" s="720"/>
      <c r="V440" s="720"/>
      <c r="W440" s="720"/>
      <c r="X440" s="720"/>
      <c r="Y440" s="720"/>
      <c r="Z440" s="720"/>
      <c r="AA440" s="720"/>
      <c r="AB440" s="720"/>
    </row>
    <row r="441" spans="1:28" ht="12.75" customHeight="1">
      <c r="A441" s="902"/>
      <c r="B441" s="903"/>
      <c r="C441" s="720"/>
      <c r="D441" s="720"/>
      <c r="E441" s="720"/>
      <c r="F441" s="720"/>
      <c r="G441" s="906"/>
      <c r="H441" s="720"/>
      <c r="I441" s="720"/>
      <c r="J441" s="720"/>
      <c r="K441" s="907"/>
      <c r="L441" s="720"/>
      <c r="M441" s="720"/>
      <c r="N441" s="720"/>
      <c r="O441" s="720"/>
      <c r="P441" s="720"/>
      <c r="Q441" s="720"/>
      <c r="R441" s="720"/>
      <c r="S441" s="720"/>
      <c r="T441" s="720"/>
      <c r="U441" s="720"/>
      <c r="V441" s="720"/>
      <c r="W441" s="720"/>
      <c r="X441" s="720"/>
      <c r="Y441" s="720"/>
      <c r="Z441" s="720"/>
      <c r="AA441" s="720"/>
      <c r="AB441" s="720"/>
    </row>
    <row r="442" spans="1:28" ht="12.75" customHeight="1">
      <c r="A442" s="902"/>
      <c r="B442" s="903"/>
      <c r="C442" s="720"/>
      <c r="D442" s="720"/>
      <c r="E442" s="720"/>
      <c r="F442" s="720"/>
      <c r="G442" s="906"/>
      <c r="H442" s="720"/>
      <c r="I442" s="720"/>
      <c r="J442" s="720"/>
      <c r="K442" s="907"/>
      <c r="L442" s="720"/>
      <c r="M442" s="720"/>
      <c r="N442" s="720"/>
      <c r="O442" s="720"/>
      <c r="P442" s="720"/>
      <c r="Q442" s="720"/>
      <c r="R442" s="720"/>
      <c r="S442" s="720"/>
      <c r="T442" s="720"/>
      <c r="U442" s="720"/>
      <c r="V442" s="720"/>
      <c r="W442" s="720"/>
      <c r="X442" s="720"/>
      <c r="Y442" s="720"/>
      <c r="Z442" s="720"/>
      <c r="AA442" s="720"/>
      <c r="AB442" s="720"/>
    </row>
    <row r="443" spans="1:28" ht="12.75" customHeight="1">
      <c r="A443" s="902"/>
      <c r="B443" s="903"/>
      <c r="C443" s="720"/>
      <c r="D443" s="720"/>
      <c r="E443" s="720"/>
      <c r="F443" s="720"/>
      <c r="G443" s="906"/>
      <c r="H443" s="720"/>
      <c r="I443" s="720"/>
      <c r="J443" s="720"/>
      <c r="K443" s="907"/>
      <c r="L443" s="720"/>
      <c r="M443" s="720"/>
      <c r="N443" s="720"/>
      <c r="O443" s="720"/>
      <c r="P443" s="720"/>
      <c r="Q443" s="720"/>
      <c r="R443" s="720"/>
      <c r="S443" s="720"/>
      <c r="T443" s="720"/>
      <c r="U443" s="720"/>
      <c r="V443" s="720"/>
      <c r="W443" s="720"/>
      <c r="X443" s="720"/>
      <c r="Y443" s="720"/>
      <c r="Z443" s="720"/>
      <c r="AA443" s="720"/>
      <c r="AB443" s="720"/>
    </row>
    <row r="444" spans="1:28" ht="12.75" customHeight="1">
      <c r="A444" s="902"/>
      <c r="B444" s="903"/>
      <c r="C444" s="720"/>
      <c r="D444" s="720"/>
      <c r="E444" s="720"/>
      <c r="F444" s="720"/>
      <c r="G444" s="906"/>
      <c r="H444" s="720"/>
      <c r="I444" s="720"/>
      <c r="J444" s="720"/>
      <c r="K444" s="907"/>
      <c r="L444" s="720"/>
      <c r="M444" s="720"/>
      <c r="N444" s="720"/>
      <c r="O444" s="720"/>
      <c r="P444" s="720"/>
      <c r="Q444" s="720"/>
      <c r="R444" s="720"/>
      <c r="S444" s="720"/>
      <c r="T444" s="720"/>
      <c r="U444" s="720"/>
      <c r="V444" s="720"/>
      <c r="W444" s="720"/>
      <c r="X444" s="720"/>
      <c r="Y444" s="720"/>
      <c r="Z444" s="720"/>
      <c r="AA444" s="720"/>
      <c r="AB444" s="720"/>
    </row>
    <row r="445" spans="1:28" ht="12.75" customHeight="1">
      <c r="A445" s="902"/>
      <c r="B445" s="903"/>
      <c r="C445" s="720"/>
      <c r="D445" s="720"/>
      <c r="E445" s="720"/>
      <c r="F445" s="720"/>
      <c r="G445" s="906"/>
      <c r="H445" s="720"/>
      <c r="I445" s="720"/>
      <c r="J445" s="720"/>
      <c r="K445" s="907"/>
      <c r="L445" s="720"/>
      <c r="M445" s="720"/>
      <c r="N445" s="720"/>
      <c r="O445" s="720"/>
      <c r="P445" s="720"/>
      <c r="Q445" s="720"/>
      <c r="R445" s="720"/>
      <c r="S445" s="720"/>
      <c r="T445" s="720"/>
      <c r="U445" s="720"/>
      <c r="V445" s="720"/>
      <c r="W445" s="720"/>
      <c r="X445" s="720"/>
      <c r="Y445" s="720"/>
      <c r="Z445" s="720"/>
      <c r="AA445" s="720"/>
      <c r="AB445" s="720"/>
    </row>
    <row r="446" spans="1:28" ht="12.75" customHeight="1">
      <c r="A446" s="902"/>
      <c r="B446" s="903"/>
      <c r="C446" s="720"/>
      <c r="D446" s="720"/>
      <c r="E446" s="720"/>
      <c r="F446" s="720"/>
      <c r="G446" s="906"/>
      <c r="H446" s="720"/>
      <c r="I446" s="720"/>
      <c r="J446" s="720"/>
      <c r="K446" s="907"/>
      <c r="L446" s="720"/>
      <c r="M446" s="720"/>
      <c r="N446" s="720"/>
      <c r="O446" s="720"/>
      <c r="P446" s="720"/>
      <c r="Q446" s="720"/>
      <c r="R446" s="720"/>
      <c r="S446" s="720"/>
      <c r="T446" s="720"/>
      <c r="U446" s="720"/>
      <c r="V446" s="720"/>
      <c r="W446" s="720"/>
      <c r="X446" s="720"/>
      <c r="Y446" s="720"/>
      <c r="Z446" s="720"/>
      <c r="AA446" s="720"/>
      <c r="AB446" s="720"/>
    </row>
    <row r="447" spans="1:28" ht="12.75" customHeight="1">
      <c r="A447" s="902"/>
      <c r="B447" s="903"/>
      <c r="C447" s="720"/>
      <c r="D447" s="720"/>
      <c r="E447" s="720"/>
      <c r="F447" s="720"/>
      <c r="G447" s="906"/>
      <c r="H447" s="720"/>
      <c r="I447" s="720"/>
      <c r="J447" s="720"/>
      <c r="K447" s="907"/>
      <c r="L447" s="720"/>
      <c r="M447" s="720"/>
      <c r="N447" s="720"/>
      <c r="O447" s="720"/>
      <c r="P447" s="720"/>
      <c r="Q447" s="720"/>
      <c r="R447" s="720"/>
      <c r="S447" s="720"/>
      <c r="T447" s="720"/>
      <c r="U447" s="720"/>
      <c r="V447" s="720"/>
      <c r="W447" s="720"/>
      <c r="X447" s="720"/>
      <c r="Y447" s="720"/>
      <c r="Z447" s="720"/>
      <c r="AA447" s="720"/>
      <c r="AB447" s="720"/>
    </row>
    <row r="448" spans="1:28" ht="12.75" customHeight="1">
      <c r="A448" s="902"/>
      <c r="B448" s="903"/>
      <c r="C448" s="720"/>
      <c r="D448" s="720"/>
      <c r="E448" s="720"/>
      <c r="F448" s="720"/>
      <c r="G448" s="906"/>
      <c r="H448" s="720"/>
      <c r="I448" s="720"/>
      <c r="J448" s="720"/>
      <c r="K448" s="907"/>
      <c r="L448" s="720"/>
      <c r="M448" s="720"/>
      <c r="N448" s="720"/>
      <c r="O448" s="720"/>
      <c r="P448" s="720"/>
      <c r="Q448" s="720"/>
      <c r="R448" s="720"/>
      <c r="S448" s="720"/>
      <c r="T448" s="720"/>
      <c r="U448" s="720"/>
      <c r="V448" s="720"/>
      <c r="W448" s="720"/>
      <c r="X448" s="720"/>
      <c r="Y448" s="720"/>
      <c r="Z448" s="720"/>
      <c r="AA448" s="720"/>
      <c r="AB448" s="720"/>
    </row>
    <row r="449" spans="1:28" ht="12.75" customHeight="1">
      <c r="A449" s="902"/>
      <c r="B449" s="903"/>
      <c r="C449" s="720"/>
      <c r="D449" s="720"/>
      <c r="E449" s="720"/>
      <c r="F449" s="720"/>
      <c r="G449" s="906"/>
      <c r="H449" s="720"/>
      <c r="I449" s="720"/>
      <c r="J449" s="720"/>
      <c r="K449" s="907"/>
      <c r="L449" s="720"/>
      <c r="M449" s="720"/>
      <c r="N449" s="720"/>
      <c r="O449" s="720"/>
      <c r="P449" s="720"/>
      <c r="Q449" s="720"/>
      <c r="R449" s="720"/>
      <c r="S449" s="720"/>
      <c r="T449" s="720"/>
      <c r="U449" s="720"/>
      <c r="V449" s="720"/>
      <c r="W449" s="720"/>
      <c r="X449" s="720"/>
      <c r="Y449" s="720"/>
      <c r="Z449" s="720"/>
      <c r="AA449" s="720"/>
      <c r="AB449" s="720"/>
    </row>
    <row r="450" spans="1:28" ht="12.75" customHeight="1">
      <c r="A450" s="902"/>
      <c r="B450" s="903"/>
      <c r="C450" s="720"/>
      <c r="D450" s="720"/>
      <c r="E450" s="720"/>
      <c r="F450" s="720"/>
      <c r="G450" s="906"/>
      <c r="H450" s="720"/>
      <c r="I450" s="720"/>
      <c r="J450" s="720"/>
      <c r="K450" s="907"/>
      <c r="L450" s="720"/>
      <c r="M450" s="720"/>
      <c r="N450" s="720"/>
      <c r="O450" s="720"/>
      <c r="P450" s="720"/>
      <c r="Q450" s="720"/>
      <c r="R450" s="720"/>
      <c r="S450" s="720"/>
      <c r="T450" s="720"/>
      <c r="U450" s="720"/>
      <c r="V450" s="720"/>
      <c r="W450" s="720"/>
      <c r="X450" s="720"/>
      <c r="Y450" s="720"/>
      <c r="Z450" s="720"/>
      <c r="AA450" s="720"/>
      <c r="AB450" s="720"/>
    </row>
    <row r="451" spans="1:28" ht="12.75" customHeight="1">
      <c r="A451" s="902"/>
      <c r="B451" s="903"/>
      <c r="C451" s="720"/>
      <c r="D451" s="720"/>
      <c r="E451" s="720"/>
      <c r="F451" s="720"/>
      <c r="G451" s="906"/>
      <c r="H451" s="720"/>
      <c r="I451" s="720"/>
      <c r="J451" s="720"/>
      <c r="K451" s="907"/>
      <c r="L451" s="720"/>
      <c r="M451" s="720"/>
      <c r="N451" s="720"/>
      <c r="O451" s="720"/>
      <c r="P451" s="720"/>
      <c r="Q451" s="720"/>
      <c r="R451" s="720"/>
      <c r="S451" s="720"/>
      <c r="T451" s="720"/>
      <c r="U451" s="720"/>
      <c r="V451" s="720"/>
      <c r="W451" s="720"/>
      <c r="X451" s="720"/>
      <c r="Y451" s="720"/>
      <c r="Z451" s="720"/>
      <c r="AA451" s="720"/>
      <c r="AB451" s="720"/>
    </row>
    <row r="452" spans="1:28" ht="12.75" customHeight="1">
      <c r="A452" s="902"/>
      <c r="B452" s="903"/>
      <c r="C452" s="720"/>
      <c r="D452" s="720"/>
      <c r="E452" s="720"/>
      <c r="F452" s="720"/>
      <c r="G452" s="906"/>
      <c r="H452" s="720"/>
      <c r="I452" s="720"/>
      <c r="J452" s="720"/>
      <c r="K452" s="907"/>
      <c r="L452" s="720"/>
      <c r="M452" s="720"/>
      <c r="N452" s="720"/>
      <c r="O452" s="720"/>
      <c r="P452" s="720"/>
      <c r="Q452" s="720"/>
      <c r="R452" s="720"/>
      <c r="S452" s="720"/>
      <c r="T452" s="720"/>
      <c r="U452" s="720"/>
      <c r="V452" s="720"/>
      <c r="W452" s="720"/>
      <c r="X452" s="720"/>
      <c r="Y452" s="720"/>
      <c r="Z452" s="720"/>
      <c r="AA452" s="720"/>
      <c r="AB452" s="720"/>
    </row>
    <row r="453" spans="1:28" ht="12.75" customHeight="1">
      <c r="A453" s="902"/>
      <c r="B453" s="903"/>
      <c r="C453" s="720"/>
      <c r="D453" s="720"/>
      <c r="E453" s="720"/>
      <c r="F453" s="720"/>
      <c r="G453" s="906"/>
      <c r="H453" s="720"/>
      <c r="I453" s="720"/>
      <c r="J453" s="720"/>
      <c r="K453" s="907"/>
      <c r="L453" s="720"/>
      <c r="M453" s="720"/>
      <c r="N453" s="720"/>
      <c r="O453" s="720"/>
      <c r="P453" s="720"/>
      <c r="Q453" s="720"/>
      <c r="R453" s="720"/>
      <c r="S453" s="720"/>
      <c r="T453" s="720"/>
      <c r="U453" s="720"/>
      <c r="V453" s="720"/>
      <c r="W453" s="720"/>
      <c r="X453" s="720"/>
      <c r="Y453" s="720"/>
      <c r="Z453" s="720"/>
      <c r="AA453" s="720"/>
      <c r="AB453" s="720"/>
    </row>
    <row r="454" spans="1:28" ht="12.75" customHeight="1">
      <c r="A454" s="902"/>
      <c r="B454" s="903"/>
      <c r="C454" s="720"/>
      <c r="D454" s="720"/>
      <c r="E454" s="720"/>
      <c r="F454" s="720"/>
      <c r="G454" s="906"/>
      <c r="H454" s="720"/>
      <c r="I454" s="720"/>
      <c r="J454" s="720"/>
      <c r="K454" s="907"/>
      <c r="L454" s="720"/>
      <c r="M454" s="720"/>
      <c r="N454" s="720"/>
      <c r="O454" s="720"/>
      <c r="P454" s="720"/>
      <c r="Q454" s="720"/>
      <c r="R454" s="720"/>
      <c r="S454" s="720"/>
      <c r="T454" s="720"/>
      <c r="U454" s="720"/>
      <c r="V454" s="720"/>
      <c r="W454" s="720"/>
      <c r="X454" s="720"/>
      <c r="Y454" s="720"/>
      <c r="Z454" s="720"/>
      <c r="AA454" s="720"/>
      <c r="AB454" s="720"/>
    </row>
    <row r="455" spans="1:28" ht="12.75" customHeight="1">
      <c r="A455" s="902"/>
      <c r="B455" s="903"/>
      <c r="C455" s="720"/>
      <c r="D455" s="720"/>
      <c r="E455" s="720"/>
      <c r="F455" s="720"/>
      <c r="G455" s="906"/>
      <c r="H455" s="720"/>
      <c r="I455" s="720"/>
      <c r="J455" s="720"/>
      <c r="K455" s="907"/>
      <c r="L455" s="720"/>
      <c r="M455" s="720"/>
      <c r="N455" s="720"/>
      <c r="O455" s="720"/>
      <c r="P455" s="720"/>
      <c r="Q455" s="720"/>
      <c r="R455" s="720"/>
      <c r="S455" s="720"/>
      <c r="T455" s="720"/>
      <c r="U455" s="720"/>
      <c r="V455" s="720"/>
      <c r="W455" s="720"/>
      <c r="X455" s="720"/>
      <c r="Y455" s="720"/>
      <c r="Z455" s="720"/>
      <c r="AA455" s="720"/>
      <c r="AB455" s="720"/>
    </row>
    <row r="456" spans="1:28" ht="12.75" customHeight="1">
      <c r="A456" s="902"/>
      <c r="B456" s="903"/>
      <c r="C456" s="720"/>
      <c r="D456" s="720"/>
      <c r="E456" s="720"/>
      <c r="F456" s="720"/>
      <c r="G456" s="906"/>
      <c r="H456" s="720"/>
      <c r="I456" s="720"/>
      <c r="J456" s="720"/>
      <c r="K456" s="907"/>
      <c r="L456" s="720"/>
      <c r="M456" s="720"/>
      <c r="N456" s="720"/>
      <c r="O456" s="720"/>
      <c r="P456" s="720"/>
      <c r="Q456" s="720"/>
      <c r="R456" s="720"/>
      <c r="S456" s="720"/>
      <c r="T456" s="720"/>
      <c r="U456" s="720"/>
      <c r="V456" s="720"/>
      <c r="W456" s="720"/>
      <c r="X456" s="720"/>
      <c r="Y456" s="720"/>
      <c r="Z456" s="720"/>
      <c r="AA456" s="720"/>
      <c r="AB456" s="720"/>
    </row>
    <row r="457" spans="1:28" ht="12.75" customHeight="1">
      <c r="A457" s="902"/>
      <c r="B457" s="903"/>
      <c r="C457" s="720"/>
      <c r="D457" s="720"/>
      <c r="E457" s="720"/>
      <c r="F457" s="720"/>
      <c r="G457" s="906"/>
      <c r="H457" s="720"/>
      <c r="I457" s="720"/>
      <c r="J457" s="720"/>
      <c r="K457" s="907"/>
      <c r="L457" s="720"/>
      <c r="M457" s="720"/>
      <c r="N457" s="720"/>
      <c r="O457" s="720"/>
      <c r="P457" s="720"/>
      <c r="Q457" s="720"/>
      <c r="R457" s="720"/>
      <c r="S457" s="720"/>
      <c r="T457" s="720"/>
      <c r="U457" s="720"/>
      <c r="V457" s="720"/>
      <c r="W457" s="720"/>
      <c r="X457" s="720"/>
      <c r="Y457" s="720"/>
      <c r="Z457" s="720"/>
      <c r="AA457" s="720"/>
      <c r="AB457" s="720"/>
    </row>
    <row r="458" spans="1:28" ht="12.75" customHeight="1">
      <c r="A458" s="902"/>
      <c r="B458" s="903"/>
      <c r="C458" s="720"/>
      <c r="D458" s="720"/>
      <c r="E458" s="720"/>
      <c r="F458" s="720"/>
      <c r="G458" s="906"/>
      <c r="H458" s="720"/>
      <c r="I458" s="720"/>
      <c r="J458" s="720"/>
      <c r="K458" s="907"/>
      <c r="L458" s="720"/>
      <c r="M458" s="720"/>
      <c r="N458" s="720"/>
      <c r="O458" s="720"/>
      <c r="P458" s="720"/>
      <c r="Q458" s="720"/>
      <c r="R458" s="720"/>
      <c r="S458" s="720"/>
      <c r="T458" s="720"/>
      <c r="U458" s="720"/>
      <c r="V458" s="720"/>
      <c r="W458" s="720"/>
      <c r="X458" s="720"/>
      <c r="Y458" s="720"/>
      <c r="Z458" s="720"/>
      <c r="AA458" s="720"/>
      <c r="AB458" s="720"/>
    </row>
    <row r="459" spans="1:28" ht="12.75" customHeight="1">
      <c r="A459" s="902"/>
      <c r="B459" s="903"/>
      <c r="C459" s="720"/>
      <c r="D459" s="720"/>
      <c r="E459" s="720"/>
      <c r="F459" s="720"/>
      <c r="G459" s="906"/>
      <c r="H459" s="720"/>
      <c r="I459" s="720"/>
      <c r="J459" s="720"/>
      <c r="K459" s="907"/>
      <c r="L459" s="720"/>
      <c r="M459" s="720"/>
      <c r="N459" s="720"/>
      <c r="O459" s="720"/>
      <c r="P459" s="720"/>
      <c r="Q459" s="720"/>
      <c r="R459" s="720"/>
      <c r="S459" s="720"/>
      <c r="T459" s="720"/>
      <c r="U459" s="720"/>
      <c r="V459" s="720"/>
      <c r="W459" s="720"/>
      <c r="X459" s="720"/>
      <c r="Y459" s="720"/>
      <c r="Z459" s="720"/>
      <c r="AA459" s="720"/>
      <c r="AB459" s="720"/>
    </row>
    <row r="460" spans="1:28" ht="12.75" customHeight="1">
      <c r="A460" s="902"/>
      <c r="B460" s="903"/>
      <c r="C460" s="720"/>
      <c r="D460" s="720"/>
      <c r="E460" s="720"/>
      <c r="F460" s="720"/>
      <c r="G460" s="906"/>
      <c r="H460" s="720"/>
      <c r="I460" s="720"/>
      <c r="J460" s="720"/>
      <c r="K460" s="907"/>
      <c r="L460" s="720"/>
      <c r="M460" s="720"/>
      <c r="N460" s="720"/>
      <c r="O460" s="720"/>
      <c r="P460" s="720"/>
      <c r="Q460" s="720"/>
      <c r="R460" s="720"/>
      <c r="S460" s="720"/>
      <c r="T460" s="720"/>
      <c r="U460" s="720"/>
      <c r="V460" s="720"/>
      <c r="W460" s="720"/>
      <c r="X460" s="720"/>
      <c r="Y460" s="720"/>
      <c r="Z460" s="720"/>
      <c r="AA460" s="720"/>
      <c r="AB460" s="720"/>
    </row>
    <row r="461" spans="1:28" ht="12.75" customHeight="1">
      <c r="A461" s="902"/>
      <c r="B461" s="903"/>
      <c r="C461" s="720"/>
      <c r="D461" s="720"/>
      <c r="E461" s="720"/>
      <c r="F461" s="720"/>
      <c r="G461" s="906"/>
      <c r="H461" s="720"/>
      <c r="I461" s="720"/>
      <c r="J461" s="720"/>
      <c r="K461" s="907"/>
      <c r="L461" s="720"/>
      <c r="M461" s="720"/>
      <c r="N461" s="720"/>
      <c r="O461" s="720"/>
      <c r="P461" s="720"/>
      <c r="Q461" s="720"/>
      <c r="R461" s="720"/>
      <c r="S461" s="720"/>
      <c r="T461" s="720"/>
      <c r="U461" s="720"/>
      <c r="V461" s="720"/>
      <c r="W461" s="720"/>
      <c r="X461" s="720"/>
      <c r="Y461" s="720"/>
      <c r="Z461" s="720"/>
      <c r="AA461" s="720"/>
      <c r="AB461" s="720"/>
    </row>
    <row r="462" spans="1:28" ht="12.75" customHeight="1">
      <c r="A462" s="902"/>
      <c r="B462" s="903"/>
      <c r="C462" s="720"/>
      <c r="D462" s="720"/>
      <c r="E462" s="720"/>
      <c r="F462" s="720"/>
      <c r="G462" s="906"/>
      <c r="H462" s="720"/>
      <c r="I462" s="720"/>
      <c r="J462" s="720"/>
      <c r="K462" s="907"/>
      <c r="L462" s="720"/>
      <c r="M462" s="720"/>
      <c r="N462" s="720"/>
      <c r="O462" s="720"/>
      <c r="P462" s="720"/>
      <c r="Q462" s="720"/>
      <c r="R462" s="720"/>
      <c r="S462" s="720"/>
      <c r="T462" s="720"/>
      <c r="U462" s="720"/>
      <c r="V462" s="720"/>
      <c r="W462" s="720"/>
      <c r="X462" s="720"/>
      <c r="Y462" s="720"/>
      <c r="Z462" s="720"/>
      <c r="AA462" s="720"/>
      <c r="AB462" s="720"/>
    </row>
    <row r="463" spans="1:28" ht="12.75" customHeight="1">
      <c r="A463" s="902"/>
      <c r="B463" s="903"/>
      <c r="C463" s="720"/>
      <c r="D463" s="720"/>
      <c r="E463" s="720"/>
      <c r="F463" s="720"/>
      <c r="G463" s="906"/>
      <c r="H463" s="720"/>
      <c r="I463" s="720"/>
      <c r="J463" s="720"/>
      <c r="K463" s="907"/>
      <c r="L463" s="720"/>
      <c r="M463" s="720"/>
      <c r="N463" s="720"/>
      <c r="O463" s="720"/>
      <c r="P463" s="720"/>
      <c r="Q463" s="720"/>
      <c r="R463" s="720"/>
      <c r="S463" s="720"/>
      <c r="T463" s="720"/>
      <c r="U463" s="720"/>
      <c r="V463" s="720"/>
      <c r="W463" s="720"/>
      <c r="X463" s="720"/>
      <c r="Y463" s="720"/>
      <c r="Z463" s="720"/>
      <c r="AA463" s="720"/>
      <c r="AB463" s="720"/>
    </row>
    <row r="464" spans="1:28" ht="12.75" customHeight="1">
      <c r="A464" s="902"/>
      <c r="B464" s="903"/>
      <c r="C464" s="720"/>
      <c r="D464" s="720"/>
      <c r="E464" s="720"/>
      <c r="F464" s="720"/>
      <c r="G464" s="906"/>
      <c r="H464" s="720"/>
      <c r="I464" s="720"/>
      <c r="J464" s="720"/>
      <c r="K464" s="907"/>
      <c r="L464" s="720"/>
      <c r="M464" s="720"/>
      <c r="N464" s="720"/>
      <c r="O464" s="720"/>
      <c r="P464" s="720"/>
      <c r="Q464" s="720"/>
      <c r="R464" s="720"/>
      <c r="S464" s="720"/>
      <c r="T464" s="720"/>
      <c r="U464" s="720"/>
      <c r="V464" s="720"/>
      <c r="W464" s="720"/>
      <c r="X464" s="720"/>
      <c r="Y464" s="720"/>
      <c r="Z464" s="720"/>
      <c r="AA464" s="720"/>
      <c r="AB464" s="720"/>
    </row>
    <row r="465" spans="1:28" ht="12.75" customHeight="1">
      <c r="A465" s="902"/>
      <c r="B465" s="903"/>
      <c r="C465" s="720"/>
      <c r="D465" s="720"/>
      <c r="E465" s="720"/>
      <c r="F465" s="720"/>
      <c r="G465" s="906"/>
      <c r="H465" s="720"/>
      <c r="I465" s="720"/>
      <c r="J465" s="720"/>
      <c r="K465" s="907"/>
      <c r="L465" s="720"/>
      <c r="M465" s="720"/>
      <c r="N465" s="720"/>
      <c r="O465" s="720"/>
      <c r="P465" s="720"/>
      <c r="Q465" s="720"/>
      <c r="R465" s="720"/>
      <c r="S465" s="720"/>
      <c r="T465" s="720"/>
      <c r="U465" s="720"/>
      <c r="V465" s="720"/>
      <c r="W465" s="720"/>
      <c r="X465" s="720"/>
      <c r="Y465" s="720"/>
      <c r="Z465" s="720"/>
      <c r="AA465" s="720"/>
      <c r="AB465" s="720"/>
    </row>
    <row r="466" spans="1:28" ht="12.75" customHeight="1">
      <c r="A466" s="902"/>
      <c r="B466" s="903"/>
      <c r="C466" s="720"/>
      <c r="D466" s="720"/>
      <c r="E466" s="720"/>
      <c r="F466" s="720"/>
      <c r="G466" s="906"/>
      <c r="H466" s="720"/>
      <c r="I466" s="720"/>
      <c r="J466" s="720"/>
      <c r="K466" s="907"/>
      <c r="L466" s="720"/>
      <c r="M466" s="720"/>
      <c r="N466" s="720"/>
      <c r="O466" s="720"/>
      <c r="P466" s="720"/>
      <c r="Q466" s="720"/>
      <c r="R466" s="720"/>
      <c r="S466" s="720"/>
      <c r="T466" s="720"/>
      <c r="U466" s="720"/>
      <c r="V466" s="720"/>
      <c r="W466" s="720"/>
      <c r="X466" s="720"/>
      <c r="Y466" s="720"/>
      <c r="Z466" s="720"/>
      <c r="AA466" s="720"/>
      <c r="AB466" s="720"/>
    </row>
    <row r="467" spans="1:28" ht="12.75" customHeight="1">
      <c r="A467" s="902"/>
      <c r="B467" s="903"/>
      <c r="C467" s="720"/>
      <c r="D467" s="720"/>
      <c r="E467" s="720"/>
      <c r="F467" s="720"/>
      <c r="G467" s="906"/>
      <c r="H467" s="720"/>
      <c r="I467" s="720"/>
      <c r="J467" s="720"/>
      <c r="K467" s="907"/>
      <c r="L467" s="720"/>
      <c r="M467" s="720"/>
      <c r="N467" s="720"/>
      <c r="O467" s="720"/>
      <c r="P467" s="720"/>
      <c r="Q467" s="720"/>
      <c r="R467" s="720"/>
      <c r="S467" s="720"/>
      <c r="T467" s="720"/>
      <c r="U467" s="720"/>
      <c r="V467" s="720"/>
      <c r="W467" s="720"/>
      <c r="X467" s="720"/>
      <c r="Y467" s="720"/>
      <c r="Z467" s="720"/>
      <c r="AA467" s="720"/>
      <c r="AB467" s="720"/>
    </row>
    <row r="468" spans="1:28" ht="12.75" customHeight="1">
      <c r="A468" s="902"/>
      <c r="B468" s="903"/>
      <c r="C468" s="720"/>
      <c r="D468" s="720"/>
      <c r="E468" s="720"/>
      <c r="F468" s="720"/>
      <c r="G468" s="906"/>
      <c r="H468" s="720"/>
      <c r="I468" s="720"/>
      <c r="J468" s="720"/>
      <c r="K468" s="907"/>
      <c r="L468" s="720"/>
      <c r="M468" s="720"/>
      <c r="N468" s="720"/>
      <c r="O468" s="720"/>
      <c r="P468" s="720"/>
      <c r="Q468" s="720"/>
      <c r="R468" s="720"/>
      <c r="S468" s="720"/>
      <c r="T468" s="720"/>
      <c r="U468" s="720"/>
      <c r="V468" s="720"/>
      <c r="W468" s="720"/>
      <c r="X468" s="720"/>
      <c r="Y468" s="720"/>
      <c r="Z468" s="720"/>
      <c r="AA468" s="720"/>
      <c r="AB468" s="720"/>
    </row>
    <row r="469" spans="1:28" ht="12.75" customHeight="1">
      <c r="A469" s="902"/>
      <c r="B469" s="903"/>
      <c r="C469" s="720"/>
      <c r="D469" s="720"/>
      <c r="E469" s="720"/>
      <c r="F469" s="720"/>
      <c r="G469" s="906"/>
      <c r="H469" s="720"/>
      <c r="I469" s="720"/>
      <c r="J469" s="720"/>
      <c r="K469" s="907"/>
      <c r="L469" s="720"/>
      <c r="M469" s="720"/>
      <c r="N469" s="720"/>
      <c r="O469" s="720"/>
      <c r="P469" s="720"/>
      <c r="Q469" s="720"/>
      <c r="R469" s="720"/>
      <c r="S469" s="720"/>
      <c r="T469" s="720"/>
      <c r="U469" s="720"/>
      <c r="V469" s="720"/>
      <c r="W469" s="720"/>
      <c r="X469" s="720"/>
      <c r="Y469" s="720"/>
      <c r="Z469" s="720"/>
      <c r="AA469" s="720"/>
      <c r="AB469" s="720"/>
    </row>
    <row r="470" spans="1:28" ht="12.75" customHeight="1">
      <c r="A470" s="902"/>
      <c r="B470" s="903"/>
      <c r="C470" s="720"/>
      <c r="D470" s="720"/>
      <c r="E470" s="720"/>
      <c r="F470" s="720"/>
      <c r="G470" s="906"/>
      <c r="H470" s="720"/>
      <c r="I470" s="720"/>
      <c r="J470" s="720"/>
      <c r="K470" s="907"/>
      <c r="L470" s="720"/>
      <c r="M470" s="720"/>
      <c r="N470" s="720"/>
      <c r="O470" s="720"/>
      <c r="P470" s="720"/>
      <c r="Q470" s="720"/>
      <c r="R470" s="720"/>
      <c r="S470" s="720"/>
      <c r="T470" s="720"/>
      <c r="U470" s="720"/>
      <c r="V470" s="720"/>
      <c r="W470" s="720"/>
      <c r="X470" s="720"/>
      <c r="Y470" s="720"/>
      <c r="Z470" s="720"/>
      <c r="AA470" s="720"/>
      <c r="AB470" s="720"/>
    </row>
    <row r="471" spans="1:28" ht="12.75" customHeight="1">
      <c r="A471" s="902"/>
      <c r="B471" s="903"/>
      <c r="C471" s="720"/>
      <c r="D471" s="720"/>
      <c r="E471" s="720"/>
      <c r="F471" s="720"/>
      <c r="G471" s="906"/>
      <c r="H471" s="720"/>
      <c r="I471" s="720"/>
      <c r="J471" s="720"/>
      <c r="K471" s="907"/>
      <c r="L471" s="720"/>
      <c r="M471" s="720"/>
      <c r="N471" s="720"/>
      <c r="O471" s="720"/>
      <c r="P471" s="720"/>
      <c r="Q471" s="720"/>
      <c r="R471" s="720"/>
      <c r="S471" s="720"/>
      <c r="T471" s="720"/>
      <c r="U471" s="720"/>
      <c r="V471" s="720"/>
      <c r="W471" s="720"/>
      <c r="X471" s="720"/>
      <c r="Y471" s="720"/>
      <c r="Z471" s="720"/>
      <c r="AA471" s="720"/>
      <c r="AB471" s="720"/>
    </row>
    <row r="472" spans="1:28" ht="12.75" customHeight="1">
      <c r="A472" s="902"/>
      <c r="B472" s="903"/>
      <c r="C472" s="720"/>
      <c r="D472" s="720"/>
      <c r="E472" s="720"/>
      <c r="F472" s="720"/>
      <c r="G472" s="906"/>
      <c r="H472" s="720"/>
      <c r="I472" s="720"/>
      <c r="J472" s="720"/>
      <c r="K472" s="907"/>
      <c r="L472" s="720"/>
      <c r="M472" s="720"/>
      <c r="N472" s="720"/>
      <c r="O472" s="720"/>
      <c r="P472" s="720"/>
      <c r="Q472" s="720"/>
      <c r="R472" s="720"/>
      <c r="S472" s="720"/>
      <c r="T472" s="720"/>
      <c r="U472" s="720"/>
      <c r="V472" s="720"/>
      <c r="W472" s="720"/>
      <c r="X472" s="720"/>
      <c r="Y472" s="720"/>
      <c r="Z472" s="720"/>
      <c r="AA472" s="720"/>
      <c r="AB472" s="720"/>
    </row>
    <row r="473" spans="1:28" ht="12.75" customHeight="1">
      <c r="A473" s="902"/>
      <c r="B473" s="903"/>
      <c r="C473" s="720"/>
      <c r="D473" s="720"/>
      <c r="E473" s="720"/>
      <c r="F473" s="720"/>
      <c r="G473" s="906"/>
      <c r="H473" s="720"/>
      <c r="I473" s="720"/>
      <c r="J473" s="720"/>
      <c r="K473" s="907"/>
      <c r="L473" s="720"/>
      <c r="M473" s="720"/>
      <c r="N473" s="720"/>
      <c r="O473" s="720"/>
      <c r="P473" s="720"/>
      <c r="Q473" s="720"/>
      <c r="R473" s="720"/>
      <c r="S473" s="720"/>
      <c r="T473" s="720"/>
      <c r="U473" s="720"/>
      <c r="V473" s="720"/>
      <c r="W473" s="720"/>
      <c r="X473" s="720"/>
      <c r="Y473" s="720"/>
      <c r="Z473" s="720"/>
      <c r="AA473" s="720"/>
      <c r="AB473" s="720"/>
    </row>
    <row r="474" spans="1:28" ht="12.75" customHeight="1">
      <c r="A474" s="902"/>
      <c r="B474" s="903"/>
      <c r="C474" s="720"/>
      <c r="D474" s="720"/>
      <c r="E474" s="720"/>
      <c r="F474" s="720"/>
      <c r="G474" s="906"/>
      <c r="H474" s="720"/>
      <c r="I474" s="720"/>
      <c r="J474" s="720"/>
      <c r="K474" s="907"/>
      <c r="L474" s="720"/>
      <c r="M474" s="720"/>
      <c r="N474" s="720"/>
      <c r="O474" s="720"/>
      <c r="P474" s="720"/>
      <c r="Q474" s="720"/>
      <c r="R474" s="720"/>
      <c r="S474" s="720"/>
      <c r="T474" s="720"/>
      <c r="U474" s="720"/>
      <c r="V474" s="720"/>
      <c r="W474" s="720"/>
      <c r="X474" s="720"/>
      <c r="Y474" s="720"/>
      <c r="Z474" s="720"/>
      <c r="AA474" s="720"/>
      <c r="AB474" s="720"/>
    </row>
    <row r="475" spans="1:28" ht="12.75" customHeight="1">
      <c r="A475" s="902"/>
      <c r="B475" s="903"/>
      <c r="C475" s="720"/>
      <c r="D475" s="720"/>
      <c r="E475" s="720"/>
      <c r="F475" s="720"/>
      <c r="G475" s="906"/>
      <c r="H475" s="720"/>
      <c r="I475" s="720"/>
      <c r="J475" s="720"/>
      <c r="K475" s="907"/>
      <c r="L475" s="720"/>
      <c r="M475" s="720"/>
      <c r="N475" s="720"/>
      <c r="O475" s="720"/>
      <c r="P475" s="720"/>
      <c r="Q475" s="720"/>
      <c r="R475" s="720"/>
      <c r="S475" s="720"/>
      <c r="T475" s="720"/>
      <c r="U475" s="720"/>
      <c r="V475" s="720"/>
      <c r="W475" s="720"/>
      <c r="X475" s="720"/>
      <c r="Y475" s="720"/>
      <c r="Z475" s="720"/>
      <c r="AA475" s="720"/>
      <c r="AB475" s="720"/>
    </row>
    <row r="476" spans="1:28" ht="12.75" customHeight="1">
      <c r="A476" s="902"/>
      <c r="B476" s="903"/>
      <c r="C476" s="720"/>
      <c r="D476" s="720"/>
      <c r="E476" s="720"/>
      <c r="F476" s="720"/>
      <c r="G476" s="906"/>
      <c r="H476" s="720"/>
      <c r="I476" s="720"/>
      <c r="J476" s="720"/>
      <c r="K476" s="907"/>
      <c r="L476" s="720"/>
      <c r="M476" s="720"/>
      <c r="N476" s="720"/>
      <c r="O476" s="720"/>
      <c r="P476" s="720"/>
      <c r="Q476" s="720"/>
      <c r="R476" s="720"/>
      <c r="S476" s="720"/>
      <c r="T476" s="720"/>
      <c r="U476" s="720"/>
      <c r="V476" s="720"/>
      <c r="W476" s="720"/>
      <c r="X476" s="720"/>
      <c r="Y476" s="720"/>
      <c r="Z476" s="720"/>
      <c r="AA476" s="720"/>
      <c r="AB476" s="720"/>
    </row>
    <row r="477" spans="1:28" ht="12.75" customHeight="1">
      <c r="A477" s="902"/>
      <c r="B477" s="903"/>
      <c r="C477" s="720"/>
      <c r="D477" s="720"/>
      <c r="E477" s="720"/>
      <c r="F477" s="720"/>
      <c r="G477" s="906"/>
      <c r="H477" s="720"/>
      <c r="I477" s="720"/>
      <c r="J477" s="720"/>
      <c r="K477" s="907"/>
      <c r="L477" s="720"/>
      <c r="M477" s="720"/>
      <c r="N477" s="720"/>
      <c r="O477" s="720"/>
      <c r="P477" s="720"/>
      <c r="Q477" s="720"/>
      <c r="R477" s="720"/>
      <c r="S477" s="720"/>
      <c r="T477" s="720"/>
      <c r="U477" s="720"/>
      <c r="V477" s="720"/>
      <c r="W477" s="720"/>
      <c r="X477" s="720"/>
      <c r="Y477" s="720"/>
      <c r="Z477" s="720"/>
      <c r="AA477" s="720"/>
      <c r="AB477" s="720"/>
    </row>
    <row r="478" spans="1:28" ht="12.75" customHeight="1">
      <c r="A478" s="902"/>
      <c r="B478" s="903"/>
      <c r="C478" s="720"/>
      <c r="D478" s="720"/>
      <c r="E478" s="720"/>
      <c r="F478" s="720"/>
      <c r="G478" s="906"/>
      <c r="H478" s="720"/>
      <c r="I478" s="720"/>
      <c r="J478" s="720"/>
      <c r="K478" s="907"/>
      <c r="L478" s="720"/>
      <c r="M478" s="720"/>
      <c r="N478" s="720"/>
      <c r="O478" s="720"/>
      <c r="P478" s="720"/>
      <c r="Q478" s="720"/>
      <c r="R478" s="720"/>
      <c r="S478" s="720"/>
      <c r="T478" s="720"/>
      <c r="U478" s="720"/>
      <c r="V478" s="720"/>
      <c r="W478" s="720"/>
      <c r="X478" s="720"/>
      <c r="Y478" s="720"/>
      <c r="Z478" s="720"/>
      <c r="AA478" s="720"/>
      <c r="AB478" s="720"/>
    </row>
    <row r="479" spans="1:28" ht="12.75" customHeight="1">
      <c r="A479" s="902"/>
      <c r="B479" s="903"/>
      <c r="C479" s="720"/>
      <c r="D479" s="720"/>
      <c r="E479" s="720"/>
      <c r="F479" s="720"/>
      <c r="G479" s="906"/>
      <c r="H479" s="720"/>
      <c r="I479" s="720"/>
      <c r="J479" s="720"/>
      <c r="K479" s="907"/>
      <c r="L479" s="720"/>
      <c r="M479" s="720"/>
      <c r="N479" s="720"/>
      <c r="O479" s="720"/>
      <c r="P479" s="720"/>
      <c r="Q479" s="720"/>
      <c r="R479" s="720"/>
      <c r="S479" s="720"/>
      <c r="T479" s="720"/>
      <c r="U479" s="720"/>
      <c r="V479" s="720"/>
      <c r="W479" s="720"/>
      <c r="X479" s="720"/>
      <c r="Y479" s="720"/>
      <c r="Z479" s="720"/>
      <c r="AA479" s="720"/>
      <c r="AB479" s="720"/>
    </row>
    <row r="480" spans="1:28" ht="12.75" customHeight="1">
      <c r="A480" s="902"/>
      <c r="B480" s="903"/>
      <c r="C480" s="720"/>
      <c r="D480" s="720"/>
      <c r="E480" s="720"/>
      <c r="F480" s="720"/>
      <c r="G480" s="906"/>
      <c r="H480" s="720"/>
      <c r="I480" s="720"/>
      <c r="J480" s="720"/>
      <c r="K480" s="907"/>
      <c r="L480" s="720"/>
      <c r="M480" s="720"/>
      <c r="N480" s="720"/>
      <c r="O480" s="720"/>
      <c r="P480" s="720"/>
      <c r="Q480" s="720"/>
      <c r="R480" s="720"/>
      <c r="S480" s="720"/>
      <c r="T480" s="720"/>
      <c r="U480" s="720"/>
      <c r="V480" s="720"/>
      <c r="W480" s="720"/>
      <c r="X480" s="720"/>
      <c r="Y480" s="720"/>
      <c r="Z480" s="720"/>
      <c r="AA480" s="720"/>
      <c r="AB480" s="720"/>
    </row>
    <row r="481" spans="1:28" ht="12.75" customHeight="1">
      <c r="A481" s="902"/>
      <c r="B481" s="903"/>
      <c r="C481" s="720"/>
      <c r="D481" s="720"/>
      <c r="E481" s="720"/>
      <c r="F481" s="720"/>
      <c r="G481" s="906"/>
      <c r="H481" s="720"/>
      <c r="I481" s="720"/>
      <c r="J481" s="720"/>
      <c r="K481" s="907"/>
      <c r="L481" s="720"/>
      <c r="M481" s="720"/>
      <c r="N481" s="720"/>
      <c r="O481" s="720"/>
      <c r="P481" s="720"/>
      <c r="Q481" s="720"/>
      <c r="R481" s="720"/>
      <c r="S481" s="720"/>
      <c r="T481" s="720"/>
      <c r="U481" s="720"/>
      <c r="V481" s="720"/>
      <c r="W481" s="720"/>
      <c r="X481" s="720"/>
      <c r="Y481" s="720"/>
      <c r="Z481" s="720"/>
      <c r="AA481" s="720"/>
      <c r="AB481" s="720"/>
    </row>
    <row r="482" spans="1:28" ht="12.75" customHeight="1">
      <c r="A482" s="902"/>
      <c r="B482" s="903"/>
      <c r="C482" s="720"/>
      <c r="D482" s="720"/>
      <c r="E482" s="720"/>
      <c r="F482" s="720"/>
      <c r="G482" s="906"/>
      <c r="H482" s="720"/>
      <c r="I482" s="720"/>
      <c r="J482" s="720"/>
      <c r="K482" s="907"/>
      <c r="L482" s="720"/>
      <c r="M482" s="720"/>
      <c r="N482" s="720"/>
      <c r="O482" s="720"/>
      <c r="P482" s="720"/>
      <c r="Q482" s="720"/>
      <c r="R482" s="720"/>
      <c r="S482" s="720"/>
      <c r="T482" s="720"/>
      <c r="U482" s="720"/>
      <c r="V482" s="720"/>
      <c r="W482" s="720"/>
      <c r="X482" s="720"/>
      <c r="Y482" s="720"/>
      <c r="Z482" s="720"/>
      <c r="AA482" s="720"/>
      <c r="AB482" s="720"/>
    </row>
    <row r="483" spans="1:28" ht="12.75" customHeight="1">
      <c r="A483" s="902"/>
      <c r="B483" s="903"/>
      <c r="C483" s="720"/>
      <c r="D483" s="720"/>
      <c r="E483" s="720"/>
      <c r="F483" s="720"/>
      <c r="G483" s="906"/>
      <c r="H483" s="720"/>
      <c r="I483" s="720"/>
      <c r="J483" s="720"/>
      <c r="K483" s="907"/>
      <c r="L483" s="720"/>
      <c r="M483" s="720"/>
      <c r="N483" s="720"/>
      <c r="O483" s="720"/>
      <c r="P483" s="720"/>
      <c r="Q483" s="720"/>
      <c r="R483" s="720"/>
      <c r="S483" s="720"/>
      <c r="T483" s="720"/>
      <c r="U483" s="720"/>
      <c r="V483" s="720"/>
      <c r="W483" s="720"/>
      <c r="X483" s="720"/>
      <c r="Y483" s="720"/>
      <c r="Z483" s="720"/>
      <c r="AA483" s="720"/>
      <c r="AB483" s="720"/>
    </row>
    <row r="484" spans="1:28" ht="12.75" customHeight="1">
      <c r="A484" s="902"/>
      <c r="B484" s="903"/>
      <c r="C484" s="720"/>
      <c r="D484" s="720"/>
      <c r="E484" s="720"/>
      <c r="F484" s="720"/>
      <c r="G484" s="906"/>
      <c r="H484" s="720"/>
      <c r="I484" s="720"/>
      <c r="J484" s="720"/>
      <c r="K484" s="907"/>
      <c r="L484" s="720"/>
      <c r="M484" s="720"/>
      <c r="N484" s="720"/>
      <c r="O484" s="720"/>
      <c r="P484" s="720"/>
      <c r="Q484" s="720"/>
      <c r="R484" s="720"/>
      <c r="S484" s="720"/>
      <c r="T484" s="720"/>
      <c r="U484" s="720"/>
      <c r="V484" s="720"/>
      <c r="W484" s="720"/>
      <c r="X484" s="720"/>
      <c r="Y484" s="720"/>
      <c r="Z484" s="720"/>
      <c r="AA484" s="720"/>
      <c r="AB484" s="720"/>
    </row>
    <row r="485" spans="1:28" ht="12.75" customHeight="1">
      <c r="A485" s="902"/>
      <c r="B485" s="903"/>
      <c r="C485" s="720"/>
      <c r="D485" s="720"/>
      <c r="E485" s="720"/>
      <c r="F485" s="720"/>
      <c r="G485" s="906"/>
      <c r="H485" s="720"/>
      <c r="I485" s="720"/>
      <c r="J485" s="720"/>
      <c r="K485" s="907"/>
      <c r="L485" s="720"/>
      <c r="M485" s="720"/>
      <c r="N485" s="720"/>
      <c r="O485" s="720"/>
      <c r="P485" s="720"/>
      <c r="Q485" s="720"/>
      <c r="R485" s="720"/>
      <c r="S485" s="720"/>
      <c r="T485" s="720"/>
      <c r="U485" s="720"/>
      <c r="V485" s="720"/>
      <c r="W485" s="720"/>
      <c r="X485" s="720"/>
      <c r="Y485" s="720"/>
      <c r="Z485" s="720"/>
      <c r="AA485" s="720"/>
      <c r="AB485" s="720"/>
    </row>
    <row r="486" spans="1:28" ht="12.75" customHeight="1">
      <c r="A486" s="902"/>
      <c r="B486" s="903"/>
      <c r="C486" s="720"/>
      <c r="D486" s="720"/>
      <c r="E486" s="720"/>
      <c r="F486" s="720"/>
      <c r="G486" s="906"/>
      <c r="H486" s="720"/>
      <c r="I486" s="720"/>
      <c r="J486" s="720"/>
      <c r="K486" s="907"/>
      <c r="L486" s="720"/>
      <c r="M486" s="720"/>
      <c r="N486" s="720"/>
      <c r="O486" s="720"/>
      <c r="P486" s="720"/>
      <c r="Q486" s="720"/>
      <c r="R486" s="720"/>
      <c r="S486" s="720"/>
      <c r="T486" s="720"/>
      <c r="U486" s="720"/>
      <c r="V486" s="720"/>
      <c r="W486" s="720"/>
      <c r="X486" s="720"/>
      <c r="Y486" s="720"/>
      <c r="Z486" s="720"/>
      <c r="AA486" s="720"/>
      <c r="AB486" s="720"/>
    </row>
    <row r="487" spans="1:28" ht="12.75" customHeight="1">
      <c r="A487" s="902"/>
      <c r="B487" s="903"/>
      <c r="C487" s="720"/>
      <c r="D487" s="720"/>
      <c r="E487" s="720"/>
      <c r="F487" s="720"/>
      <c r="G487" s="906"/>
      <c r="H487" s="720"/>
      <c r="I487" s="720"/>
      <c r="J487" s="720"/>
      <c r="K487" s="907"/>
      <c r="L487" s="720"/>
      <c r="M487" s="720"/>
      <c r="N487" s="720"/>
      <c r="O487" s="720"/>
      <c r="P487" s="720"/>
      <c r="Q487" s="720"/>
      <c r="R487" s="720"/>
      <c r="S487" s="720"/>
      <c r="T487" s="720"/>
      <c r="U487" s="720"/>
      <c r="V487" s="720"/>
      <c r="W487" s="720"/>
      <c r="X487" s="720"/>
      <c r="Y487" s="720"/>
      <c r="Z487" s="720"/>
      <c r="AA487" s="720"/>
      <c r="AB487" s="720"/>
    </row>
    <row r="488" spans="1:28" ht="12.75" customHeight="1">
      <c r="A488" s="902"/>
      <c r="B488" s="903"/>
      <c r="C488" s="720"/>
      <c r="D488" s="720"/>
      <c r="E488" s="720"/>
      <c r="F488" s="720"/>
      <c r="G488" s="906"/>
      <c r="H488" s="720"/>
      <c r="I488" s="720"/>
      <c r="J488" s="720"/>
      <c r="K488" s="907"/>
      <c r="L488" s="720"/>
      <c r="M488" s="720"/>
      <c r="N488" s="720"/>
      <c r="O488" s="720"/>
      <c r="P488" s="720"/>
      <c r="Q488" s="720"/>
      <c r="R488" s="720"/>
      <c r="S488" s="720"/>
      <c r="T488" s="720"/>
      <c r="U488" s="720"/>
      <c r="V488" s="720"/>
      <c r="W488" s="720"/>
      <c r="X488" s="720"/>
      <c r="Y488" s="720"/>
      <c r="Z488" s="720"/>
      <c r="AA488" s="720"/>
      <c r="AB488" s="720"/>
    </row>
    <row r="489" spans="1:28" ht="12.75" customHeight="1">
      <c r="A489" s="902"/>
      <c r="B489" s="903"/>
      <c r="C489" s="720"/>
      <c r="D489" s="720"/>
      <c r="E489" s="720"/>
      <c r="F489" s="720"/>
      <c r="G489" s="906"/>
      <c r="H489" s="720"/>
      <c r="I489" s="720"/>
      <c r="J489" s="720"/>
      <c r="K489" s="907"/>
      <c r="L489" s="720"/>
      <c r="M489" s="720"/>
      <c r="N489" s="720"/>
      <c r="O489" s="720"/>
      <c r="P489" s="720"/>
      <c r="Q489" s="720"/>
      <c r="R489" s="720"/>
      <c r="S489" s="720"/>
      <c r="T489" s="720"/>
      <c r="U489" s="720"/>
      <c r="V489" s="720"/>
      <c r="W489" s="720"/>
      <c r="X489" s="720"/>
      <c r="Y489" s="720"/>
      <c r="Z489" s="720"/>
      <c r="AA489" s="720"/>
      <c r="AB489" s="720"/>
    </row>
    <row r="490" spans="1:28" ht="12.75" customHeight="1">
      <c r="A490" s="902"/>
      <c r="B490" s="903"/>
      <c r="C490" s="720"/>
      <c r="D490" s="720"/>
      <c r="E490" s="720"/>
      <c r="F490" s="720"/>
      <c r="G490" s="906"/>
      <c r="H490" s="720"/>
      <c r="I490" s="720"/>
      <c r="J490" s="720"/>
      <c r="K490" s="907"/>
      <c r="L490" s="720"/>
      <c r="M490" s="720"/>
      <c r="N490" s="720"/>
      <c r="O490" s="720"/>
      <c r="P490" s="720"/>
      <c r="Q490" s="720"/>
      <c r="R490" s="720"/>
      <c r="S490" s="720"/>
      <c r="T490" s="720"/>
      <c r="U490" s="720"/>
      <c r="V490" s="720"/>
      <c r="W490" s="720"/>
      <c r="X490" s="720"/>
      <c r="Y490" s="720"/>
      <c r="Z490" s="720"/>
      <c r="AA490" s="720"/>
      <c r="AB490" s="720"/>
    </row>
    <row r="491" spans="1:28" ht="12.75" customHeight="1">
      <c r="A491" s="902"/>
      <c r="B491" s="903"/>
      <c r="C491" s="720"/>
      <c r="D491" s="720"/>
      <c r="E491" s="720"/>
      <c r="F491" s="720"/>
      <c r="G491" s="906"/>
      <c r="H491" s="720"/>
      <c r="I491" s="720"/>
      <c r="J491" s="720"/>
      <c r="K491" s="907"/>
      <c r="L491" s="720"/>
      <c r="M491" s="720"/>
      <c r="N491" s="720"/>
      <c r="O491" s="720"/>
      <c r="P491" s="720"/>
      <c r="Q491" s="720"/>
      <c r="R491" s="720"/>
      <c r="S491" s="720"/>
      <c r="T491" s="720"/>
      <c r="U491" s="720"/>
      <c r="V491" s="720"/>
      <c r="W491" s="720"/>
      <c r="X491" s="720"/>
      <c r="Y491" s="720"/>
      <c r="Z491" s="720"/>
      <c r="AA491" s="720"/>
      <c r="AB491" s="720"/>
    </row>
    <row r="492" spans="1:28" ht="12.75" customHeight="1">
      <c r="A492" s="902"/>
      <c r="B492" s="903"/>
      <c r="C492" s="720"/>
      <c r="D492" s="720"/>
      <c r="E492" s="720"/>
      <c r="F492" s="720"/>
      <c r="G492" s="906"/>
      <c r="H492" s="720"/>
      <c r="I492" s="720"/>
      <c r="J492" s="720"/>
      <c r="K492" s="907"/>
      <c r="L492" s="720"/>
      <c r="M492" s="720"/>
      <c r="N492" s="720"/>
      <c r="O492" s="720"/>
      <c r="P492" s="720"/>
      <c r="Q492" s="720"/>
      <c r="R492" s="720"/>
      <c r="S492" s="720"/>
      <c r="T492" s="720"/>
      <c r="U492" s="720"/>
      <c r="V492" s="720"/>
      <c r="W492" s="720"/>
      <c r="X492" s="720"/>
      <c r="Y492" s="720"/>
      <c r="Z492" s="720"/>
      <c r="AA492" s="720"/>
      <c r="AB492" s="720"/>
    </row>
    <row r="493" spans="1:28" ht="12.75" customHeight="1">
      <c r="A493" s="902"/>
      <c r="B493" s="903"/>
      <c r="C493" s="720"/>
      <c r="D493" s="720"/>
      <c r="E493" s="720"/>
      <c r="F493" s="720"/>
      <c r="G493" s="906"/>
      <c r="H493" s="720"/>
      <c r="I493" s="720"/>
      <c r="J493" s="720"/>
      <c r="K493" s="907"/>
      <c r="L493" s="720"/>
      <c r="M493" s="720"/>
      <c r="N493" s="720"/>
      <c r="O493" s="720"/>
      <c r="P493" s="720"/>
      <c r="Q493" s="720"/>
      <c r="R493" s="720"/>
      <c r="S493" s="720"/>
      <c r="T493" s="720"/>
      <c r="U493" s="720"/>
      <c r="V493" s="720"/>
      <c r="W493" s="720"/>
      <c r="X493" s="720"/>
      <c r="Y493" s="720"/>
      <c r="Z493" s="720"/>
      <c r="AA493" s="720"/>
      <c r="AB493" s="720"/>
    </row>
    <row r="494" spans="1:28" ht="12.75" customHeight="1">
      <c r="A494" s="902"/>
      <c r="B494" s="903"/>
      <c r="C494" s="720"/>
      <c r="D494" s="720"/>
      <c r="E494" s="720"/>
      <c r="F494" s="720"/>
      <c r="G494" s="906"/>
      <c r="H494" s="720"/>
      <c r="I494" s="720"/>
      <c r="J494" s="720"/>
      <c r="K494" s="907"/>
      <c r="L494" s="720"/>
      <c r="M494" s="720"/>
      <c r="N494" s="720"/>
      <c r="O494" s="720"/>
      <c r="P494" s="720"/>
      <c r="Q494" s="720"/>
      <c r="R494" s="720"/>
      <c r="S494" s="720"/>
      <c r="T494" s="720"/>
      <c r="U494" s="720"/>
      <c r="V494" s="720"/>
      <c r="W494" s="720"/>
      <c r="X494" s="720"/>
      <c r="Y494" s="720"/>
      <c r="Z494" s="720"/>
      <c r="AA494" s="720"/>
      <c r="AB494" s="720"/>
    </row>
    <row r="495" spans="1:28" ht="12.75" customHeight="1">
      <c r="A495" s="902"/>
      <c r="B495" s="903"/>
      <c r="C495" s="720"/>
      <c r="D495" s="720"/>
      <c r="E495" s="720"/>
      <c r="F495" s="720"/>
      <c r="G495" s="906"/>
      <c r="H495" s="720"/>
      <c r="I495" s="720"/>
      <c r="J495" s="720"/>
      <c r="K495" s="907"/>
      <c r="L495" s="720"/>
      <c r="M495" s="720"/>
      <c r="N495" s="720"/>
      <c r="O495" s="720"/>
      <c r="P495" s="720"/>
      <c r="Q495" s="720"/>
      <c r="R495" s="720"/>
      <c r="S495" s="720"/>
      <c r="T495" s="720"/>
      <c r="U495" s="720"/>
      <c r="V495" s="720"/>
      <c r="W495" s="720"/>
      <c r="X495" s="720"/>
      <c r="Y495" s="720"/>
      <c r="Z495" s="720"/>
      <c r="AA495" s="720"/>
      <c r="AB495" s="720"/>
    </row>
    <row r="496" spans="1:28" ht="12.75" customHeight="1">
      <c r="A496" s="902"/>
      <c r="B496" s="903"/>
      <c r="C496" s="720"/>
      <c r="D496" s="720"/>
      <c r="E496" s="720"/>
      <c r="F496" s="720"/>
      <c r="G496" s="906"/>
      <c r="H496" s="720"/>
      <c r="I496" s="720"/>
      <c r="J496" s="720"/>
      <c r="K496" s="907"/>
      <c r="L496" s="720"/>
      <c r="M496" s="720"/>
      <c r="N496" s="720"/>
      <c r="O496" s="720"/>
      <c r="P496" s="720"/>
      <c r="Q496" s="720"/>
      <c r="R496" s="720"/>
      <c r="S496" s="720"/>
      <c r="T496" s="720"/>
      <c r="U496" s="720"/>
      <c r="V496" s="720"/>
      <c r="W496" s="720"/>
      <c r="X496" s="720"/>
      <c r="Y496" s="720"/>
      <c r="Z496" s="720"/>
      <c r="AA496" s="720"/>
      <c r="AB496" s="720"/>
    </row>
    <row r="497" spans="1:28" ht="12.75" customHeight="1">
      <c r="A497" s="902"/>
      <c r="B497" s="903"/>
      <c r="C497" s="720"/>
      <c r="D497" s="720"/>
      <c r="E497" s="720"/>
      <c r="F497" s="720"/>
      <c r="G497" s="906"/>
      <c r="H497" s="720"/>
      <c r="I497" s="720"/>
      <c r="J497" s="720"/>
      <c r="K497" s="907"/>
      <c r="L497" s="720"/>
      <c r="M497" s="720"/>
      <c r="N497" s="720"/>
      <c r="O497" s="720"/>
      <c r="P497" s="720"/>
      <c r="Q497" s="720"/>
      <c r="R497" s="720"/>
      <c r="S497" s="720"/>
      <c r="T497" s="720"/>
      <c r="U497" s="720"/>
      <c r="V497" s="720"/>
      <c r="W497" s="720"/>
      <c r="X497" s="720"/>
      <c r="Y497" s="720"/>
      <c r="Z497" s="720"/>
      <c r="AA497" s="720"/>
      <c r="AB497" s="720"/>
    </row>
    <row r="498" spans="1:28" ht="12.75" customHeight="1">
      <c r="A498" s="902"/>
      <c r="B498" s="903"/>
      <c r="C498" s="720"/>
      <c r="D498" s="720"/>
      <c r="E498" s="720"/>
      <c r="F498" s="720"/>
      <c r="G498" s="906"/>
      <c r="H498" s="720"/>
      <c r="I498" s="720"/>
      <c r="J498" s="720"/>
      <c r="K498" s="907"/>
      <c r="L498" s="720"/>
      <c r="M498" s="720"/>
      <c r="N498" s="720"/>
      <c r="O498" s="720"/>
      <c r="P498" s="720"/>
      <c r="Q498" s="720"/>
      <c r="R498" s="720"/>
      <c r="S498" s="720"/>
      <c r="T498" s="720"/>
      <c r="U498" s="720"/>
      <c r="V498" s="720"/>
      <c r="W498" s="720"/>
      <c r="X498" s="720"/>
      <c r="Y498" s="720"/>
      <c r="Z498" s="720"/>
      <c r="AA498" s="720"/>
      <c r="AB498" s="720"/>
    </row>
    <row r="499" spans="1:28" ht="12.75" customHeight="1">
      <c r="A499" s="902"/>
      <c r="B499" s="903"/>
      <c r="C499" s="720"/>
      <c r="D499" s="720"/>
      <c r="E499" s="720"/>
      <c r="F499" s="720"/>
      <c r="G499" s="906"/>
      <c r="H499" s="720"/>
      <c r="I499" s="720"/>
      <c r="J499" s="720"/>
      <c r="K499" s="907"/>
      <c r="L499" s="720"/>
      <c r="M499" s="720"/>
      <c r="N499" s="720"/>
      <c r="O499" s="720"/>
      <c r="P499" s="720"/>
      <c r="Q499" s="720"/>
      <c r="R499" s="720"/>
      <c r="S499" s="720"/>
      <c r="T499" s="720"/>
      <c r="U499" s="720"/>
      <c r="V499" s="720"/>
      <c r="W499" s="720"/>
      <c r="X499" s="720"/>
      <c r="Y499" s="720"/>
      <c r="Z499" s="720"/>
      <c r="AA499" s="720"/>
      <c r="AB499" s="720"/>
    </row>
    <row r="500" spans="1:28" ht="12.75" customHeight="1">
      <c r="A500" s="902"/>
      <c r="B500" s="903"/>
      <c r="C500" s="720"/>
      <c r="D500" s="720"/>
      <c r="E500" s="720"/>
      <c r="F500" s="720"/>
      <c r="G500" s="906"/>
      <c r="H500" s="720"/>
      <c r="I500" s="720"/>
      <c r="J500" s="720"/>
      <c r="K500" s="907"/>
      <c r="L500" s="720"/>
      <c r="M500" s="720"/>
      <c r="N500" s="720"/>
      <c r="O500" s="720"/>
      <c r="P500" s="720"/>
      <c r="Q500" s="720"/>
      <c r="R500" s="720"/>
      <c r="S500" s="720"/>
      <c r="T500" s="720"/>
      <c r="U500" s="720"/>
      <c r="V500" s="720"/>
      <c r="W500" s="720"/>
      <c r="X500" s="720"/>
      <c r="Y500" s="720"/>
      <c r="Z500" s="720"/>
      <c r="AA500" s="720"/>
      <c r="AB500" s="720"/>
    </row>
    <row r="501" spans="1:28" ht="12.75" customHeight="1">
      <c r="A501" s="902"/>
      <c r="B501" s="903"/>
      <c r="C501" s="720"/>
      <c r="D501" s="720"/>
      <c r="E501" s="720"/>
      <c r="F501" s="720"/>
      <c r="G501" s="906"/>
      <c r="H501" s="720"/>
      <c r="I501" s="720"/>
      <c r="J501" s="720"/>
      <c r="K501" s="907"/>
      <c r="L501" s="720"/>
      <c r="M501" s="720"/>
      <c r="N501" s="720"/>
      <c r="O501" s="720"/>
      <c r="P501" s="720"/>
      <c r="Q501" s="720"/>
      <c r="R501" s="720"/>
      <c r="S501" s="720"/>
      <c r="T501" s="720"/>
      <c r="U501" s="720"/>
      <c r="V501" s="720"/>
      <c r="W501" s="720"/>
      <c r="X501" s="720"/>
      <c r="Y501" s="720"/>
      <c r="Z501" s="720"/>
      <c r="AA501" s="720"/>
      <c r="AB501" s="720"/>
    </row>
    <row r="502" spans="1:28" ht="12.75" customHeight="1">
      <c r="A502" s="902"/>
      <c r="B502" s="903"/>
      <c r="C502" s="720"/>
      <c r="D502" s="720"/>
      <c r="E502" s="720"/>
      <c r="F502" s="720"/>
      <c r="G502" s="906"/>
      <c r="H502" s="720"/>
      <c r="I502" s="720"/>
      <c r="J502" s="720"/>
      <c r="K502" s="907"/>
      <c r="L502" s="720"/>
      <c r="M502" s="720"/>
      <c r="N502" s="720"/>
      <c r="O502" s="720"/>
      <c r="P502" s="720"/>
      <c r="Q502" s="720"/>
      <c r="R502" s="720"/>
      <c r="S502" s="720"/>
      <c r="T502" s="720"/>
      <c r="U502" s="720"/>
      <c r="V502" s="720"/>
      <c r="W502" s="720"/>
      <c r="X502" s="720"/>
      <c r="Y502" s="720"/>
      <c r="Z502" s="720"/>
      <c r="AA502" s="720"/>
      <c r="AB502" s="720"/>
    </row>
    <row r="503" spans="1:28" ht="12.75" customHeight="1">
      <c r="A503" s="902"/>
      <c r="B503" s="903"/>
      <c r="C503" s="720"/>
      <c r="D503" s="720"/>
      <c r="E503" s="720"/>
      <c r="F503" s="720"/>
      <c r="G503" s="906"/>
      <c r="H503" s="720"/>
      <c r="I503" s="720"/>
      <c r="J503" s="720"/>
      <c r="K503" s="907"/>
      <c r="L503" s="720"/>
      <c r="M503" s="720"/>
      <c r="N503" s="720"/>
      <c r="O503" s="720"/>
      <c r="P503" s="720"/>
      <c r="Q503" s="720"/>
      <c r="R503" s="720"/>
      <c r="S503" s="720"/>
      <c r="T503" s="720"/>
      <c r="U503" s="720"/>
      <c r="V503" s="720"/>
      <c r="W503" s="720"/>
      <c r="X503" s="720"/>
      <c r="Y503" s="720"/>
      <c r="Z503" s="720"/>
      <c r="AA503" s="720"/>
      <c r="AB503" s="720"/>
    </row>
    <row r="504" spans="1:28" ht="12.75" customHeight="1">
      <c r="A504" s="902"/>
      <c r="B504" s="903"/>
      <c r="C504" s="720"/>
      <c r="D504" s="720"/>
      <c r="E504" s="720"/>
      <c r="F504" s="720"/>
      <c r="G504" s="906"/>
      <c r="H504" s="720"/>
      <c r="I504" s="720"/>
      <c r="J504" s="720"/>
      <c r="K504" s="907"/>
      <c r="L504" s="720"/>
      <c r="M504" s="720"/>
      <c r="N504" s="720"/>
      <c r="O504" s="720"/>
      <c r="P504" s="720"/>
      <c r="Q504" s="720"/>
      <c r="R504" s="720"/>
      <c r="S504" s="720"/>
      <c r="T504" s="720"/>
      <c r="U504" s="720"/>
      <c r="V504" s="720"/>
      <c r="W504" s="720"/>
      <c r="X504" s="720"/>
      <c r="Y504" s="720"/>
      <c r="Z504" s="720"/>
      <c r="AA504" s="720"/>
      <c r="AB504" s="720"/>
    </row>
    <row r="505" spans="1:28" ht="12.75" customHeight="1">
      <c r="A505" s="902"/>
      <c r="B505" s="903"/>
      <c r="C505" s="720"/>
      <c r="D505" s="720"/>
      <c r="E505" s="720"/>
      <c r="F505" s="720"/>
      <c r="G505" s="906"/>
      <c r="H505" s="720"/>
      <c r="I505" s="720"/>
      <c r="J505" s="720"/>
      <c r="K505" s="907"/>
      <c r="L505" s="720"/>
      <c r="M505" s="720"/>
      <c r="N505" s="720"/>
      <c r="O505" s="720"/>
      <c r="P505" s="720"/>
      <c r="Q505" s="720"/>
      <c r="R505" s="720"/>
      <c r="S505" s="720"/>
      <c r="T505" s="720"/>
      <c r="U505" s="720"/>
      <c r="V505" s="720"/>
      <c r="W505" s="720"/>
      <c r="X505" s="720"/>
      <c r="Y505" s="720"/>
      <c r="Z505" s="720"/>
      <c r="AA505" s="720"/>
      <c r="AB505" s="720"/>
    </row>
    <row r="506" spans="1:28" ht="12.75" customHeight="1">
      <c r="A506" s="902"/>
      <c r="B506" s="903"/>
      <c r="C506" s="720"/>
      <c r="D506" s="720"/>
      <c r="E506" s="720"/>
      <c r="F506" s="720"/>
      <c r="G506" s="906"/>
      <c r="H506" s="720"/>
      <c r="I506" s="720"/>
      <c r="J506" s="720"/>
      <c r="K506" s="907"/>
      <c r="L506" s="720"/>
      <c r="M506" s="720"/>
      <c r="N506" s="720"/>
      <c r="O506" s="720"/>
      <c r="P506" s="720"/>
      <c r="Q506" s="720"/>
      <c r="R506" s="720"/>
      <c r="S506" s="720"/>
      <c r="T506" s="720"/>
      <c r="U506" s="720"/>
      <c r="V506" s="720"/>
      <c r="W506" s="720"/>
      <c r="X506" s="720"/>
      <c r="Y506" s="720"/>
      <c r="Z506" s="720"/>
      <c r="AA506" s="720"/>
      <c r="AB506" s="720"/>
    </row>
    <row r="507" spans="1:28" ht="12.75" customHeight="1">
      <c r="A507" s="902"/>
      <c r="B507" s="903"/>
      <c r="C507" s="720"/>
      <c r="D507" s="720"/>
      <c r="E507" s="720"/>
      <c r="F507" s="720"/>
      <c r="G507" s="906"/>
      <c r="H507" s="720"/>
      <c r="I507" s="720"/>
      <c r="J507" s="720"/>
      <c r="K507" s="907"/>
      <c r="L507" s="720"/>
      <c r="M507" s="720"/>
      <c r="N507" s="720"/>
      <c r="O507" s="720"/>
      <c r="P507" s="720"/>
      <c r="Q507" s="720"/>
      <c r="R507" s="720"/>
      <c r="S507" s="720"/>
      <c r="T507" s="720"/>
      <c r="U507" s="720"/>
      <c r="V507" s="720"/>
      <c r="W507" s="720"/>
      <c r="X507" s="720"/>
      <c r="Y507" s="720"/>
      <c r="Z507" s="720"/>
      <c r="AA507" s="720"/>
      <c r="AB507" s="720"/>
    </row>
    <row r="508" spans="1:28" ht="12.75" customHeight="1">
      <c r="A508" s="902"/>
      <c r="B508" s="903"/>
      <c r="C508" s="720"/>
      <c r="D508" s="720"/>
      <c r="E508" s="720"/>
      <c r="F508" s="720"/>
      <c r="G508" s="906"/>
      <c r="H508" s="720"/>
      <c r="I508" s="720"/>
      <c r="J508" s="720"/>
      <c r="K508" s="907"/>
      <c r="L508" s="720"/>
      <c r="M508" s="720"/>
      <c r="N508" s="720"/>
      <c r="O508" s="720"/>
      <c r="P508" s="720"/>
      <c r="Q508" s="720"/>
      <c r="R508" s="720"/>
      <c r="S508" s="720"/>
      <c r="T508" s="720"/>
      <c r="U508" s="720"/>
      <c r="V508" s="720"/>
      <c r="W508" s="720"/>
      <c r="X508" s="720"/>
      <c r="Y508" s="720"/>
      <c r="Z508" s="720"/>
      <c r="AA508" s="720"/>
      <c r="AB508" s="720"/>
    </row>
    <row r="509" spans="1:28" ht="12.75" customHeight="1">
      <c r="A509" s="902"/>
      <c r="B509" s="903"/>
      <c r="C509" s="720"/>
      <c r="D509" s="720"/>
      <c r="E509" s="720"/>
      <c r="F509" s="720"/>
      <c r="G509" s="906"/>
      <c r="H509" s="720"/>
      <c r="I509" s="720"/>
      <c r="J509" s="720"/>
      <c r="K509" s="907"/>
      <c r="L509" s="720"/>
      <c r="M509" s="720"/>
      <c r="N509" s="720"/>
      <c r="O509" s="720"/>
      <c r="P509" s="720"/>
      <c r="Q509" s="720"/>
      <c r="R509" s="720"/>
      <c r="S509" s="720"/>
      <c r="T509" s="720"/>
      <c r="U509" s="720"/>
      <c r="V509" s="720"/>
      <c r="W509" s="720"/>
      <c r="X509" s="720"/>
      <c r="Y509" s="720"/>
      <c r="Z509" s="720"/>
      <c r="AA509" s="720"/>
      <c r="AB509" s="720"/>
    </row>
    <row r="510" spans="1:28" ht="12.75" customHeight="1">
      <c r="A510" s="902"/>
      <c r="B510" s="903"/>
      <c r="C510" s="720"/>
      <c r="D510" s="720"/>
      <c r="E510" s="720"/>
      <c r="F510" s="720"/>
      <c r="G510" s="906"/>
      <c r="H510" s="720"/>
      <c r="I510" s="720"/>
      <c r="J510" s="720"/>
      <c r="K510" s="907"/>
      <c r="L510" s="720"/>
      <c r="M510" s="720"/>
      <c r="N510" s="720"/>
      <c r="O510" s="720"/>
      <c r="P510" s="720"/>
      <c r="Q510" s="720"/>
      <c r="R510" s="720"/>
      <c r="S510" s="720"/>
      <c r="T510" s="720"/>
      <c r="U510" s="720"/>
      <c r="V510" s="720"/>
      <c r="W510" s="720"/>
      <c r="X510" s="720"/>
      <c r="Y510" s="720"/>
      <c r="Z510" s="720"/>
      <c r="AA510" s="720"/>
      <c r="AB510" s="720"/>
    </row>
    <row r="511" spans="1:28" ht="12.75" customHeight="1">
      <c r="A511" s="902"/>
      <c r="B511" s="903"/>
      <c r="C511" s="720"/>
      <c r="D511" s="720"/>
      <c r="E511" s="720"/>
      <c r="F511" s="720"/>
      <c r="G511" s="906"/>
      <c r="H511" s="720"/>
      <c r="I511" s="720"/>
      <c r="J511" s="720"/>
      <c r="K511" s="907"/>
      <c r="L511" s="720"/>
      <c r="M511" s="720"/>
      <c r="N511" s="720"/>
      <c r="O511" s="720"/>
      <c r="P511" s="720"/>
      <c r="Q511" s="720"/>
      <c r="R511" s="720"/>
      <c r="S511" s="720"/>
      <c r="T511" s="720"/>
      <c r="U511" s="720"/>
      <c r="V511" s="720"/>
      <c r="W511" s="720"/>
      <c r="X511" s="720"/>
      <c r="Y511" s="720"/>
      <c r="Z511" s="720"/>
      <c r="AA511" s="720"/>
      <c r="AB511" s="720"/>
    </row>
    <row r="512" spans="1:28" ht="12.75" customHeight="1">
      <c r="A512" s="902"/>
      <c r="B512" s="903"/>
      <c r="C512" s="720"/>
      <c r="D512" s="720"/>
      <c r="E512" s="720"/>
      <c r="F512" s="720"/>
      <c r="G512" s="906"/>
      <c r="H512" s="720"/>
      <c r="I512" s="720"/>
      <c r="J512" s="720"/>
      <c r="K512" s="907"/>
      <c r="L512" s="720"/>
      <c r="M512" s="720"/>
      <c r="N512" s="720"/>
      <c r="O512" s="720"/>
      <c r="P512" s="720"/>
      <c r="Q512" s="720"/>
      <c r="R512" s="720"/>
      <c r="S512" s="720"/>
      <c r="T512" s="720"/>
      <c r="U512" s="720"/>
      <c r="V512" s="720"/>
      <c r="W512" s="720"/>
      <c r="X512" s="720"/>
      <c r="Y512" s="720"/>
      <c r="Z512" s="720"/>
      <c r="AA512" s="720"/>
      <c r="AB512" s="720"/>
    </row>
    <row r="513" spans="1:28" ht="12.75" customHeight="1">
      <c r="A513" s="902"/>
      <c r="B513" s="903"/>
      <c r="C513" s="720"/>
      <c r="D513" s="720"/>
      <c r="E513" s="720"/>
      <c r="F513" s="720"/>
      <c r="G513" s="906"/>
      <c r="H513" s="720"/>
      <c r="I513" s="720"/>
      <c r="J513" s="720"/>
      <c r="K513" s="907"/>
      <c r="L513" s="720"/>
      <c r="M513" s="720"/>
      <c r="N513" s="720"/>
      <c r="O513" s="720"/>
      <c r="P513" s="720"/>
      <c r="Q513" s="720"/>
      <c r="R513" s="720"/>
      <c r="S513" s="720"/>
      <c r="T513" s="720"/>
      <c r="U513" s="720"/>
      <c r="V513" s="720"/>
      <c r="W513" s="720"/>
      <c r="X513" s="720"/>
      <c r="Y513" s="720"/>
      <c r="Z513" s="720"/>
      <c r="AA513" s="720"/>
      <c r="AB513" s="720"/>
    </row>
    <row r="514" spans="1:28" ht="12.75" customHeight="1">
      <c r="A514" s="902"/>
      <c r="B514" s="903"/>
      <c r="C514" s="720"/>
      <c r="D514" s="720"/>
      <c r="E514" s="720"/>
      <c r="F514" s="720"/>
      <c r="G514" s="906"/>
      <c r="H514" s="720"/>
      <c r="I514" s="720"/>
      <c r="J514" s="720"/>
      <c r="K514" s="907"/>
      <c r="L514" s="720"/>
      <c r="M514" s="720"/>
      <c r="N514" s="720"/>
      <c r="O514" s="720"/>
      <c r="P514" s="720"/>
      <c r="Q514" s="720"/>
      <c r="R514" s="720"/>
      <c r="S514" s="720"/>
      <c r="T514" s="720"/>
      <c r="U514" s="720"/>
      <c r="V514" s="720"/>
      <c r="W514" s="720"/>
      <c r="X514" s="720"/>
      <c r="Y514" s="720"/>
      <c r="Z514" s="720"/>
      <c r="AA514" s="720"/>
      <c r="AB514" s="720"/>
    </row>
    <row r="515" spans="1:28" ht="12.75" customHeight="1">
      <c r="A515" s="902"/>
      <c r="B515" s="903"/>
      <c r="C515" s="720"/>
      <c r="D515" s="720"/>
      <c r="E515" s="720"/>
      <c r="F515" s="720"/>
      <c r="G515" s="906"/>
      <c r="H515" s="720"/>
      <c r="I515" s="720"/>
      <c r="J515" s="720"/>
      <c r="K515" s="907"/>
      <c r="L515" s="720"/>
      <c r="M515" s="720"/>
      <c r="N515" s="720"/>
      <c r="O515" s="720"/>
      <c r="P515" s="720"/>
      <c r="Q515" s="720"/>
      <c r="R515" s="720"/>
      <c r="S515" s="720"/>
      <c r="T515" s="720"/>
      <c r="U515" s="720"/>
      <c r="V515" s="720"/>
      <c r="W515" s="720"/>
      <c r="X515" s="720"/>
      <c r="Y515" s="720"/>
      <c r="Z515" s="720"/>
      <c r="AA515" s="720"/>
      <c r="AB515" s="720"/>
    </row>
    <row r="516" spans="1:28" ht="12.75" customHeight="1">
      <c r="A516" s="902"/>
      <c r="B516" s="903"/>
      <c r="C516" s="720"/>
      <c r="D516" s="720"/>
      <c r="E516" s="720"/>
      <c r="F516" s="720"/>
      <c r="G516" s="906"/>
      <c r="H516" s="720"/>
      <c r="I516" s="720"/>
      <c r="J516" s="720"/>
      <c r="K516" s="907"/>
      <c r="L516" s="720"/>
      <c r="M516" s="720"/>
      <c r="N516" s="720"/>
      <c r="O516" s="720"/>
      <c r="P516" s="720"/>
      <c r="Q516" s="720"/>
      <c r="R516" s="720"/>
      <c r="S516" s="720"/>
      <c r="T516" s="720"/>
      <c r="U516" s="720"/>
      <c r="V516" s="720"/>
      <c r="W516" s="720"/>
      <c r="X516" s="720"/>
      <c r="Y516" s="720"/>
      <c r="Z516" s="720"/>
      <c r="AA516" s="720"/>
      <c r="AB516" s="720"/>
    </row>
    <row r="517" spans="1:28" ht="12.75" customHeight="1">
      <c r="A517" s="902"/>
      <c r="B517" s="903"/>
      <c r="C517" s="720"/>
      <c r="D517" s="720"/>
      <c r="E517" s="720"/>
      <c r="F517" s="720"/>
      <c r="G517" s="906"/>
      <c r="H517" s="720"/>
      <c r="I517" s="720"/>
      <c r="J517" s="720"/>
      <c r="K517" s="907"/>
      <c r="L517" s="720"/>
      <c r="M517" s="720"/>
      <c r="N517" s="720"/>
      <c r="O517" s="720"/>
      <c r="P517" s="720"/>
      <c r="Q517" s="720"/>
      <c r="R517" s="720"/>
      <c r="S517" s="720"/>
      <c r="T517" s="720"/>
      <c r="U517" s="720"/>
      <c r="V517" s="720"/>
      <c r="W517" s="720"/>
      <c r="X517" s="720"/>
      <c r="Y517" s="720"/>
      <c r="Z517" s="720"/>
      <c r="AA517" s="720"/>
      <c r="AB517" s="720"/>
    </row>
    <row r="518" spans="1:28" ht="12.75" customHeight="1">
      <c r="A518" s="902"/>
      <c r="B518" s="903"/>
      <c r="C518" s="720"/>
      <c r="D518" s="720"/>
      <c r="E518" s="720"/>
      <c r="F518" s="720"/>
      <c r="G518" s="906"/>
      <c r="H518" s="720"/>
      <c r="I518" s="720"/>
      <c r="J518" s="720"/>
      <c r="K518" s="907"/>
      <c r="L518" s="720"/>
      <c r="M518" s="720"/>
      <c r="N518" s="720"/>
      <c r="O518" s="720"/>
      <c r="P518" s="720"/>
      <c r="Q518" s="720"/>
      <c r="R518" s="720"/>
      <c r="S518" s="720"/>
      <c r="T518" s="720"/>
      <c r="U518" s="720"/>
      <c r="V518" s="720"/>
      <c r="W518" s="720"/>
      <c r="X518" s="720"/>
      <c r="Y518" s="720"/>
      <c r="Z518" s="720"/>
      <c r="AA518" s="720"/>
      <c r="AB518" s="720"/>
    </row>
    <row r="519" spans="1:28" ht="12.75" customHeight="1">
      <c r="A519" s="902"/>
      <c r="B519" s="903"/>
      <c r="C519" s="720"/>
      <c r="D519" s="720"/>
      <c r="E519" s="720"/>
      <c r="F519" s="720"/>
      <c r="G519" s="906"/>
      <c r="H519" s="720"/>
      <c r="I519" s="720"/>
      <c r="J519" s="720"/>
      <c r="K519" s="907"/>
      <c r="L519" s="720"/>
      <c r="M519" s="720"/>
      <c r="N519" s="720"/>
      <c r="O519" s="720"/>
      <c r="P519" s="720"/>
      <c r="Q519" s="720"/>
      <c r="R519" s="720"/>
      <c r="S519" s="720"/>
      <c r="T519" s="720"/>
      <c r="U519" s="720"/>
      <c r="V519" s="720"/>
      <c r="W519" s="720"/>
      <c r="X519" s="720"/>
      <c r="Y519" s="720"/>
      <c r="Z519" s="720"/>
      <c r="AA519" s="720"/>
      <c r="AB519" s="720"/>
    </row>
    <row r="520" spans="1:28" ht="12.75" customHeight="1">
      <c r="A520" s="902"/>
      <c r="B520" s="903"/>
      <c r="C520" s="720"/>
      <c r="D520" s="720"/>
      <c r="E520" s="720"/>
      <c r="F520" s="720"/>
      <c r="G520" s="906"/>
      <c r="H520" s="720"/>
      <c r="I520" s="720"/>
      <c r="J520" s="720"/>
      <c r="K520" s="907"/>
      <c r="L520" s="720"/>
      <c r="M520" s="720"/>
      <c r="N520" s="720"/>
      <c r="O520" s="720"/>
      <c r="P520" s="720"/>
      <c r="Q520" s="720"/>
      <c r="R520" s="720"/>
      <c r="S520" s="720"/>
      <c r="T520" s="720"/>
      <c r="U520" s="720"/>
      <c r="V520" s="720"/>
      <c r="W520" s="720"/>
      <c r="X520" s="720"/>
      <c r="Y520" s="720"/>
      <c r="Z520" s="720"/>
      <c r="AA520" s="720"/>
      <c r="AB520" s="720"/>
    </row>
    <row r="521" spans="1:28" ht="12.75" customHeight="1">
      <c r="A521" s="902"/>
      <c r="B521" s="903"/>
      <c r="C521" s="720"/>
      <c r="D521" s="720"/>
      <c r="E521" s="720"/>
      <c r="F521" s="720"/>
      <c r="G521" s="906"/>
      <c r="H521" s="720"/>
      <c r="I521" s="720"/>
      <c r="J521" s="720"/>
      <c r="K521" s="907"/>
      <c r="L521" s="720"/>
      <c r="M521" s="720"/>
      <c r="N521" s="720"/>
      <c r="O521" s="720"/>
      <c r="P521" s="720"/>
      <c r="Q521" s="720"/>
      <c r="R521" s="720"/>
      <c r="S521" s="720"/>
      <c r="T521" s="720"/>
      <c r="U521" s="720"/>
      <c r="V521" s="720"/>
      <c r="W521" s="720"/>
      <c r="X521" s="720"/>
      <c r="Y521" s="720"/>
      <c r="Z521" s="720"/>
      <c r="AA521" s="720"/>
      <c r="AB521" s="720"/>
    </row>
    <row r="522" spans="1:28" ht="12.75" customHeight="1">
      <c r="A522" s="902"/>
      <c r="B522" s="903"/>
      <c r="C522" s="720"/>
      <c r="D522" s="720"/>
      <c r="E522" s="720"/>
      <c r="F522" s="720"/>
      <c r="G522" s="906"/>
      <c r="H522" s="720"/>
      <c r="I522" s="720"/>
      <c r="J522" s="720"/>
      <c r="K522" s="907"/>
      <c r="L522" s="720"/>
      <c r="M522" s="720"/>
      <c r="N522" s="720"/>
      <c r="O522" s="720"/>
      <c r="P522" s="720"/>
      <c r="Q522" s="720"/>
      <c r="R522" s="720"/>
      <c r="S522" s="720"/>
      <c r="T522" s="720"/>
      <c r="U522" s="720"/>
      <c r="V522" s="720"/>
      <c r="W522" s="720"/>
      <c r="X522" s="720"/>
      <c r="Y522" s="720"/>
      <c r="Z522" s="720"/>
      <c r="AA522" s="720"/>
      <c r="AB522" s="720"/>
    </row>
    <row r="523" spans="1:28" ht="12.75" customHeight="1">
      <c r="A523" s="902"/>
      <c r="B523" s="903"/>
      <c r="C523" s="720"/>
      <c r="D523" s="720"/>
      <c r="E523" s="720"/>
      <c r="F523" s="720"/>
      <c r="G523" s="906"/>
      <c r="H523" s="720"/>
      <c r="I523" s="720"/>
      <c r="J523" s="720"/>
      <c r="K523" s="907"/>
      <c r="L523" s="720"/>
      <c r="M523" s="720"/>
      <c r="N523" s="720"/>
      <c r="O523" s="720"/>
      <c r="P523" s="720"/>
      <c r="Q523" s="720"/>
      <c r="R523" s="720"/>
      <c r="S523" s="720"/>
      <c r="T523" s="720"/>
      <c r="U523" s="720"/>
      <c r="V523" s="720"/>
      <c r="W523" s="720"/>
      <c r="X523" s="720"/>
      <c r="Y523" s="720"/>
      <c r="Z523" s="720"/>
      <c r="AA523" s="720"/>
      <c r="AB523" s="720"/>
    </row>
    <row r="524" spans="1:28" ht="12.75" customHeight="1">
      <c r="A524" s="902"/>
      <c r="B524" s="903"/>
      <c r="C524" s="720"/>
      <c r="D524" s="720"/>
      <c r="E524" s="720"/>
      <c r="F524" s="720"/>
      <c r="G524" s="906"/>
      <c r="H524" s="720"/>
      <c r="I524" s="720"/>
      <c r="J524" s="720"/>
      <c r="K524" s="907"/>
      <c r="L524" s="720"/>
      <c r="M524" s="720"/>
      <c r="N524" s="720"/>
      <c r="O524" s="720"/>
      <c r="P524" s="720"/>
      <c r="Q524" s="720"/>
      <c r="R524" s="720"/>
      <c r="S524" s="720"/>
      <c r="T524" s="720"/>
      <c r="U524" s="720"/>
      <c r="V524" s="720"/>
      <c r="W524" s="720"/>
      <c r="X524" s="720"/>
      <c r="Y524" s="720"/>
      <c r="Z524" s="720"/>
      <c r="AA524" s="720"/>
      <c r="AB524" s="720"/>
    </row>
    <row r="525" spans="1:28" ht="12.75" customHeight="1">
      <c r="A525" s="902"/>
      <c r="B525" s="903"/>
      <c r="C525" s="720"/>
      <c r="D525" s="720"/>
      <c r="E525" s="720"/>
      <c r="F525" s="720"/>
      <c r="G525" s="906"/>
      <c r="H525" s="720"/>
      <c r="I525" s="720"/>
      <c r="J525" s="720"/>
      <c r="K525" s="907"/>
      <c r="L525" s="720"/>
      <c r="M525" s="720"/>
      <c r="N525" s="720"/>
      <c r="O525" s="720"/>
      <c r="P525" s="720"/>
      <c r="Q525" s="720"/>
      <c r="R525" s="720"/>
      <c r="S525" s="720"/>
      <c r="T525" s="720"/>
      <c r="U525" s="720"/>
      <c r="V525" s="720"/>
      <c r="W525" s="720"/>
      <c r="X525" s="720"/>
      <c r="Y525" s="720"/>
      <c r="Z525" s="720"/>
      <c r="AA525" s="720"/>
      <c r="AB525" s="720"/>
    </row>
    <row r="526" spans="1:28" ht="12.75" customHeight="1">
      <c r="A526" s="902"/>
      <c r="B526" s="903"/>
      <c r="C526" s="720"/>
      <c r="D526" s="720"/>
      <c r="E526" s="720"/>
      <c r="F526" s="720"/>
      <c r="G526" s="906"/>
      <c r="H526" s="720"/>
      <c r="I526" s="720"/>
      <c r="J526" s="720"/>
      <c r="K526" s="907"/>
      <c r="L526" s="720"/>
      <c r="M526" s="720"/>
      <c r="N526" s="720"/>
      <c r="O526" s="720"/>
      <c r="P526" s="720"/>
      <c r="Q526" s="720"/>
      <c r="R526" s="720"/>
      <c r="S526" s="720"/>
      <c r="T526" s="720"/>
      <c r="U526" s="720"/>
      <c r="V526" s="720"/>
      <c r="W526" s="720"/>
      <c r="X526" s="720"/>
      <c r="Y526" s="720"/>
      <c r="Z526" s="720"/>
      <c r="AA526" s="720"/>
      <c r="AB526" s="720"/>
    </row>
    <row r="527" spans="1:28" ht="12.75" customHeight="1">
      <c r="A527" s="902"/>
      <c r="B527" s="903"/>
      <c r="C527" s="720"/>
      <c r="D527" s="720"/>
      <c r="E527" s="720"/>
      <c r="F527" s="720"/>
      <c r="G527" s="906"/>
      <c r="H527" s="720"/>
      <c r="I527" s="720"/>
      <c r="J527" s="720"/>
      <c r="K527" s="907"/>
      <c r="L527" s="720"/>
      <c r="M527" s="720"/>
      <c r="N527" s="720"/>
      <c r="O527" s="720"/>
      <c r="P527" s="720"/>
      <c r="Q527" s="720"/>
      <c r="R527" s="720"/>
      <c r="S527" s="720"/>
      <c r="T527" s="720"/>
      <c r="U527" s="720"/>
      <c r="V527" s="720"/>
      <c r="W527" s="720"/>
      <c r="X527" s="720"/>
      <c r="Y527" s="720"/>
      <c r="Z527" s="720"/>
      <c r="AA527" s="720"/>
      <c r="AB527" s="720"/>
    </row>
    <row r="528" spans="1:28" ht="12.75" customHeight="1">
      <c r="A528" s="902"/>
      <c r="B528" s="903"/>
      <c r="C528" s="720"/>
      <c r="D528" s="720"/>
      <c r="E528" s="720"/>
      <c r="F528" s="720"/>
      <c r="G528" s="906"/>
      <c r="H528" s="720"/>
      <c r="I528" s="720"/>
      <c r="J528" s="720"/>
      <c r="K528" s="907"/>
      <c r="L528" s="720"/>
      <c r="M528" s="720"/>
      <c r="N528" s="720"/>
      <c r="O528" s="720"/>
      <c r="P528" s="720"/>
      <c r="Q528" s="720"/>
      <c r="R528" s="720"/>
      <c r="S528" s="720"/>
      <c r="T528" s="720"/>
      <c r="U528" s="720"/>
      <c r="V528" s="720"/>
      <c r="W528" s="720"/>
      <c r="X528" s="720"/>
      <c r="Y528" s="720"/>
      <c r="Z528" s="720"/>
      <c r="AA528" s="720"/>
      <c r="AB528" s="720"/>
    </row>
    <row r="529" spans="1:28" ht="12.75" customHeight="1">
      <c r="A529" s="902"/>
      <c r="B529" s="903"/>
      <c r="C529" s="720"/>
      <c r="D529" s="720"/>
      <c r="E529" s="720"/>
      <c r="F529" s="720"/>
      <c r="G529" s="906"/>
      <c r="H529" s="720"/>
      <c r="I529" s="720"/>
      <c r="J529" s="720"/>
      <c r="K529" s="907"/>
      <c r="L529" s="720"/>
      <c r="M529" s="720"/>
      <c r="N529" s="720"/>
      <c r="O529" s="720"/>
      <c r="P529" s="720"/>
      <c r="Q529" s="720"/>
      <c r="R529" s="720"/>
      <c r="S529" s="720"/>
      <c r="T529" s="720"/>
      <c r="U529" s="720"/>
      <c r="V529" s="720"/>
      <c r="W529" s="720"/>
      <c r="X529" s="720"/>
      <c r="Y529" s="720"/>
      <c r="Z529" s="720"/>
      <c r="AA529" s="720"/>
      <c r="AB529" s="720"/>
    </row>
    <row r="530" spans="1:28" ht="12.75" customHeight="1">
      <c r="A530" s="902"/>
      <c r="B530" s="903"/>
      <c r="C530" s="720"/>
      <c r="D530" s="720"/>
      <c r="E530" s="720"/>
      <c r="F530" s="720"/>
      <c r="G530" s="906"/>
      <c r="H530" s="720"/>
      <c r="I530" s="720"/>
      <c r="J530" s="720"/>
      <c r="K530" s="907"/>
      <c r="L530" s="720"/>
      <c r="M530" s="720"/>
      <c r="N530" s="720"/>
      <c r="O530" s="720"/>
      <c r="P530" s="720"/>
      <c r="Q530" s="720"/>
      <c r="R530" s="720"/>
      <c r="S530" s="720"/>
      <c r="T530" s="720"/>
      <c r="U530" s="720"/>
      <c r="V530" s="720"/>
      <c r="W530" s="720"/>
      <c r="X530" s="720"/>
      <c r="Y530" s="720"/>
      <c r="Z530" s="720"/>
      <c r="AA530" s="720"/>
      <c r="AB530" s="720"/>
    </row>
    <row r="531" spans="1:28" ht="12.75" customHeight="1">
      <c r="A531" s="902"/>
      <c r="B531" s="903"/>
      <c r="C531" s="720"/>
      <c r="D531" s="720"/>
      <c r="E531" s="720"/>
      <c r="F531" s="720"/>
      <c r="G531" s="906"/>
      <c r="H531" s="720"/>
      <c r="I531" s="720"/>
      <c r="J531" s="720"/>
      <c r="K531" s="907"/>
      <c r="L531" s="720"/>
      <c r="M531" s="720"/>
      <c r="N531" s="720"/>
      <c r="O531" s="720"/>
      <c r="P531" s="720"/>
      <c r="Q531" s="720"/>
      <c r="R531" s="720"/>
      <c r="S531" s="720"/>
      <c r="T531" s="720"/>
      <c r="U531" s="720"/>
      <c r="V531" s="720"/>
      <c r="W531" s="720"/>
      <c r="X531" s="720"/>
      <c r="Y531" s="720"/>
      <c r="Z531" s="720"/>
      <c r="AA531" s="720"/>
      <c r="AB531" s="720"/>
    </row>
    <row r="532" spans="1:28" ht="12.75" customHeight="1">
      <c r="A532" s="902"/>
      <c r="B532" s="903"/>
      <c r="C532" s="720"/>
      <c r="D532" s="720"/>
      <c r="E532" s="720"/>
      <c r="F532" s="720"/>
      <c r="G532" s="906"/>
      <c r="H532" s="720"/>
      <c r="I532" s="720"/>
      <c r="J532" s="720"/>
      <c r="K532" s="907"/>
      <c r="L532" s="720"/>
      <c r="M532" s="720"/>
      <c r="N532" s="720"/>
      <c r="O532" s="720"/>
      <c r="P532" s="720"/>
      <c r="Q532" s="720"/>
      <c r="R532" s="720"/>
      <c r="S532" s="720"/>
      <c r="T532" s="720"/>
      <c r="U532" s="720"/>
      <c r="V532" s="720"/>
      <c r="W532" s="720"/>
      <c r="X532" s="720"/>
      <c r="Y532" s="720"/>
      <c r="Z532" s="720"/>
      <c r="AA532" s="720"/>
      <c r="AB532" s="720"/>
    </row>
    <row r="533" spans="1:28" ht="12.75" customHeight="1">
      <c r="A533" s="902"/>
      <c r="B533" s="903"/>
      <c r="C533" s="720"/>
      <c r="D533" s="720"/>
      <c r="E533" s="720"/>
      <c r="F533" s="720"/>
      <c r="G533" s="906"/>
      <c r="H533" s="720"/>
      <c r="I533" s="720"/>
      <c r="J533" s="720"/>
      <c r="K533" s="907"/>
      <c r="L533" s="720"/>
      <c r="M533" s="720"/>
      <c r="N533" s="720"/>
      <c r="O533" s="720"/>
      <c r="P533" s="720"/>
      <c r="Q533" s="720"/>
      <c r="R533" s="720"/>
      <c r="S533" s="720"/>
      <c r="T533" s="720"/>
      <c r="U533" s="720"/>
      <c r="V533" s="720"/>
      <c r="W533" s="720"/>
      <c r="X533" s="720"/>
      <c r="Y533" s="720"/>
      <c r="Z533" s="720"/>
      <c r="AA533" s="720"/>
      <c r="AB533" s="720"/>
    </row>
    <row r="534" spans="1:28" ht="12.75" customHeight="1">
      <c r="A534" s="902"/>
      <c r="B534" s="903"/>
      <c r="C534" s="720"/>
      <c r="D534" s="720"/>
      <c r="E534" s="720"/>
      <c r="F534" s="720"/>
      <c r="G534" s="906"/>
      <c r="H534" s="720"/>
      <c r="I534" s="720"/>
      <c r="J534" s="720"/>
      <c r="K534" s="907"/>
      <c r="L534" s="720"/>
      <c r="M534" s="720"/>
      <c r="N534" s="720"/>
      <c r="O534" s="720"/>
      <c r="P534" s="720"/>
      <c r="Q534" s="720"/>
      <c r="R534" s="720"/>
      <c r="S534" s="720"/>
      <c r="T534" s="720"/>
      <c r="U534" s="720"/>
      <c r="V534" s="720"/>
      <c r="W534" s="720"/>
      <c r="X534" s="720"/>
      <c r="Y534" s="720"/>
      <c r="Z534" s="720"/>
      <c r="AA534" s="720"/>
      <c r="AB534" s="720"/>
    </row>
    <row r="535" spans="1:28" ht="12.75" customHeight="1">
      <c r="A535" s="902"/>
      <c r="B535" s="903"/>
      <c r="C535" s="720"/>
      <c r="D535" s="720"/>
      <c r="E535" s="720"/>
      <c r="F535" s="720"/>
      <c r="G535" s="906"/>
      <c r="H535" s="720"/>
      <c r="I535" s="720"/>
      <c r="J535" s="720"/>
      <c r="K535" s="907"/>
      <c r="L535" s="720"/>
      <c r="M535" s="720"/>
      <c r="N535" s="720"/>
      <c r="O535" s="720"/>
      <c r="P535" s="720"/>
      <c r="Q535" s="720"/>
      <c r="R535" s="720"/>
      <c r="S535" s="720"/>
      <c r="T535" s="720"/>
      <c r="U535" s="720"/>
      <c r="V535" s="720"/>
      <c r="W535" s="720"/>
      <c r="X535" s="720"/>
      <c r="Y535" s="720"/>
      <c r="Z535" s="720"/>
      <c r="AA535" s="720"/>
      <c r="AB535" s="720"/>
    </row>
    <row r="536" spans="1:28" ht="12.75" customHeight="1">
      <c r="A536" s="902"/>
      <c r="B536" s="903"/>
      <c r="C536" s="720"/>
      <c r="D536" s="720"/>
      <c r="E536" s="720"/>
      <c r="F536" s="720"/>
      <c r="G536" s="906"/>
      <c r="H536" s="720"/>
      <c r="I536" s="720"/>
      <c r="J536" s="720"/>
      <c r="K536" s="907"/>
      <c r="L536" s="720"/>
      <c r="M536" s="720"/>
      <c r="N536" s="720"/>
      <c r="O536" s="720"/>
      <c r="P536" s="720"/>
      <c r="Q536" s="720"/>
      <c r="R536" s="720"/>
      <c r="S536" s="720"/>
      <c r="T536" s="720"/>
      <c r="U536" s="720"/>
      <c r="V536" s="720"/>
      <c r="W536" s="720"/>
      <c r="X536" s="720"/>
      <c r="Y536" s="720"/>
      <c r="Z536" s="720"/>
      <c r="AA536" s="720"/>
      <c r="AB536" s="720"/>
    </row>
    <row r="537" spans="1:28" ht="12.75" customHeight="1">
      <c r="A537" s="902"/>
      <c r="B537" s="903"/>
      <c r="C537" s="720"/>
      <c r="D537" s="720"/>
      <c r="E537" s="720"/>
      <c r="F537" s="720"/>
      <c r="G537" s="906"/>
      <c r="H537" s="720"/>
      <c r="I537" s="720"/>
      <c r="J537" s="720"/>
      <c r="K537" s="907"/>
      <c r="L537" s="720"/>
      <c r="M537" s="720"/>
      <c r="N537" s="720"/>
      <c r="O537" s="720"/>
      <c r="P537" s="720"/>
      <c r="Q537" s="720"/>
      <c r="R537" s="720"/>
      <c r="S537" s="720"/>
      <c r="T537" s="720"/>
      <c r="U537" s="720"/>
      <c r="V537" s="720"/>
      <c r="W537" s="720"/>
      <c r="X537" s="720"/>
      <c r="Y537" s="720"/>
      <c r="Z537" s="720"/>
      <c r="AA537" s="720"/>
      <c r="AB537" s="720"/>
    </row>
    <row r="538" spans="1:28" ht="12.75" customHeight="1">
      <c r="A538" s="902"/>
      <c r="B538" s="903"/>
      <c r="C538" s="720"/>
      <c r="D538" s="720"/>
      <c r="E538" s="720"/>
      <c r="F538" s="720"/>
      <c r="G538" s="906"/>
      <c r="H538" s="720"/>
      <c r="I538" s="720"/>
      <c r="J538" s="720"/>
      <c r="K538" s="907"/>
      <c r="L538" s="720"/>
      <c r="M538" s="720"/>
      <c r="N538" s="720"/>
      <c r="O538" s="720"/>
      <c r="P538" s="720"/>
      <c r="Q538" s="720"/>
      <c r="R538" s="720"/>
      <c r="S538" s="720"/>
      <c r="T538" s="720"/>
      <c r="U538" s="720"/>
      <c r="V538" s="720"/>
      <c r="W538" s="720"/>
      <c r="X538" s="720"/>
      <c r="Y538" s="720"/>
      <c r="Z538" s="720"/>
      <c r="AA538" s="720"/>
      <c r="AB538" s="720"/>
    </row>
    <row r="539" spans="1:28" ht="12.75" customHeight="1">
      <c r="A539" s="902"/>
      <c r="B539" s="903"/>
      <c r="C539" s="720"/>
      <c r="D539" s="720"/>
      <c r="E539" s="720"/>
      <c r="F539" s="720"/>
      <c r="G539" s="906"/>
      <c r="H539" s="720"/>
      <c r="I539" s="720"/>
      <c r="J539" s="720"/>
      <c r="K539" s="907"/>
      <c r="L539" s="720"/>
      <c r="M539" s="720"/>
      <c r="N539" s="720"/>
      <c r="O539" s="720"/>
      <c r="P539" s="720"/>
      <c r="Q539" s="720"/>
      <c r="R539" s="720"/>
      <c r="S539" s="720"/>
      <c r="T539" s="720"/>
      <c r="U539" s="720"/>
      <c r="V539" s="720"/>
      <c r="W539" s="720"/>
      <c r="X539" s="720"/>
      <c r="Y539" s="720"/>
      <c r="Z539" s="720"/>
      <c r="AA539" s="720"/>
      <c r="AB539" s="720"/>
    </row>
    <row r="540" spans="1:28" ht="12.75" customHeight="1">
      <c r="A540" s="902"/>
      <c r="B540" s="903"/>
      <c r="C540" s="720"/>
      <c r="D540" s="720"/>
      <c r="E540" s="720"/>
      <c r="F540" s="720"/>
      <c r="G540" s="906"/>
      <c r="H540" s="720"/>
      <c r="I540" s="720"/>
      <c r="J540" s="720"/>
      <c r="K540" s="907"/>
      <c r="L540" s="720"/>
      <c r="M540" s="720"/>
      <c r="N540" s="720"/>
      <c r="O540" s="720"/>
      <c r="P540" s="720"/>
      <c r="Q540" s="720"/>
      <c r="R540" s="720"/>
      <c r="S540" s="720"/>
      <c r="T540" s="720"/>
      <c r="U540" s="720"/>
      <c r="V540" s="720"/>
      <c r="W540" s="720"/>
      <c r="X540" s="720"/>
      <c r="Y540" s="720"/>
      <c r="Z540" s="720"/>
      <c r="AA540" s="720"/>
      <c r="AB540" s="720"/>
    </row>
    <row r="541" spans="1:28" ht="12.75" customHeight="1">
      <c r="A541" s="902"/>
      <c r="B541" s="903"/>
      <c r="C541" s="720"/>
      <c r="D541" s="720"/>
      <c r="E541" s="720"/>
      <c r="F541" s="720"/>
      <c r="G541" s="906"/>
      <c r="H541" s="720"/>
      <c r="I541" s="720"/>
      <c r="J541" s="720"/>
      <c r="K541" s="907"/>
      <c r="L541" s="720"/>
      <c r="M541" s="720"/>
      <c r="N541" s="720"/>
      <c r="O541" s="720"/>
      <c r="P541" s="720"/>
      <c r="Q541" s="720"/>
      <c r="R541" s="720"/>
      <c r="S541" s="720"/>
      <c r="T541" s="720"/>
      <c r="U541" s="720"/>
      <c r="V541" s="720"/>
      <c r="W541" s="720"/>
      <c r="X541" s="720"/>
      <c r="Y541" s="720"/>
      <c r="Z541" s="720"/>
      <c r="AA541" s="720"/>
      <c r="AB541" s="720"/>
    </row>
    <row r="542" spans="1:28" ht="12.75" customHeight="1">
      <c r="A542" s="902"/>
      <c r="B542" s="903"/>
      <c r="C542" s="720"/>
      <c r="D542" s="720"/>
      <c r="E542" s="720"/>
      <c r="F542" s="720"/>
      <c r="G542" s="906"/>
      <c r="H542" s="720"/>
      <c r="I542" s="720"/>
      <c r="J542" s="720"/>
      <c r="K542" s="907"/>
      <c r="L542" s="720"/>
      <c r="M542" s="720"/>
      <c r="N542" s="720"/>
      <c r="O542" s="720"/>
      <c r="P542" s="720"/>
      <c r="Q542" s="720"/>
      <c r="R542" s="720"/>
      <c r="S542" s="720"/>
      <c r="T542" s="720"/>
      <c r="U542" s="720"/>
      <c r="V542" s="720"/>
      <c r="W542" s="720"/>
      <c r="X542" s="720"/>
      <c r="Y542" s="720"/>
      <c r="Z542" s="720"/>
      <c r="AA542" s="720"/>
      <c r="AB542" s="720"/>
    </row>
    <row r="543" spans="1:28" ht="12.75" customHeight="1">
      <c r="A543" s="902"/>
      <c r="B543" s="903"/>
      <c r="C543" s="720"/>
      <c r="D543" s="720"/>
      <c r="E543" s="720"/>
      <c r="F543" s="720"/>
      <c r="G543" s="906"/>
      <c r="H543" s="720"/>
      <c r="I543" s="720"/>
      <c r="J543" s="720"/>
      <c r="K543" s="907"/>
      <c r="L543" s="720"/>
      <c r="M543" s="720"/>
      <c r="N543" s="720"/>
      <c r="O543" s="720"/>
      <c r="P543" s="720"/>
      <c r="Q543" s="720"/>
      <c r="R543" s="720"/>
      <c r="S543" s="720"/>
      <c r="T543" s="720"/>
      <c r="U543" s="720"/>
      <c r="V543" s="720"/>
      <c r="W543" s="720"/>
      <c r="X543" s="720"/>
      <c r="Y543" s="720"/>
      <c r="Z543" s="720"/>
      <c r="AA543" s="720"/>
      <c r="AB543" s="720"/>
    </row>
    <row r="544" spans="1:28" ht="12.75" customHeight="1">
      <c r="A544" s="902"/>
      <c r="B544" s="903"/>
      <c r="C544" s="720"/>
      <c r="D544" s="720"/>
      <c r="E544" s="720"/>
      <c r="F544" s="720"/>
      <c r="G544" s="906"/>
      <c r="H544" s="720"/>
      <c r="I544" s="720"/>
      <c r="J544" s="720"/>
      <c r="K544" s="907"/>
      <c r="L544" s="720"/>
      <c r="M544" s="720"/>
      <c r="N544" s="720"/>
      <c r="O544" s="720"/>
      <c r="P544" s="720"/>
      <c r="Q544" s="720"/>
      <c r="R544" s="720"/>
      <c r="S544" s="720"/>
      <c r="T544" s="720"/>
      <c r="U544" s="720"/>
      <c r="V544" s="720"/>
      <c r="W544" s="720"/>
      <c r="X544" s="720"/>
      <c r="Y544" s="720"/>
      <c r="Z544" s="720"/>
      <c r="AA544" s="720"/>
      <c r="AB544" s="720"/>
    </row>
    <row r="545" spans="1:28" ht="12.75" customHeight="1">
      <c r="A545" s="902"/>
      <c r="B545" s="903"/>
      <c r="C545" s="720"/>
      <c r="D545" s="720"/>
      <c r="E545" s="720"/>
      <c r="F545" s="720"/>
      <c r="G545" s="906"/>
      <c r="H545" s="720"/>
      <c r="I545" s="720"/>
      <c r="J545" s="720"/>
      <c r="K545" s="907"/>
      <c r="L545" s="720"/>
      <c r="M545" s="720"/>
      <c r="N545" s="720"/>
      <c r="O545" s="720"/>
      <c r="P545" s="720"/>
      <c r="Q545" s="720"/>
      <c r="R545" s="720"/>
      <c r="S545" s="720"/>
      <c r="T545" s="720"/>
      <c r="U545" s="720"/>
      <c r="V545" s="720"/>
      <c r="W545" s="720"/>
      <c r="X545" s="720"/>
      <c r="Y545" s="720"/>
      <c r="Z545" s="720"/>
      <c r="AA545" s="720"/>
      <c r="AB545" s="720"/>
    </row>
    <row r="546" spans="1:28" ht="12.75" customHeight="1">
      <c r="A546" s="902"/>
      <c r="B546" s="903"/>
      <c r="C546" s="720"/>
      <c r="D546" s="720"/>
      <c r="E546" s="720"/>
      <c r="F546" s="720"/>
      <c r="G546" s="906"/>
      <c r="H546" s="720"/>
      <c r="I546" s="720"/>
      <c r="J546" s="720"/>
      <c r="K546" s="907"/>
      <c r="L546" s="720"/>
      <c r="M546" s="720"/>
      <c r="N546" s="720"/>
      <c r="O546" s="720"/>
      <c r="P546" s="720"/>
      <c r="Q546" s="720"/>
      <c r="R546" s="720"/>
      <c r="S546" s="720"/>
      <c r="T546" s="720"/>
      <c r="U546" s="720"/>
      <c r="V546" s="720"/>
      <c r="W546" s="720"/>
      <c r="X546" s="720"/>
      <c r="Y546" s="720"/>
      <c r="Z546" s="720"/>
      <c r="AA546" s="720"/>
      <c r="AB546" s="720"/>
    </row>
    <row r="547" spans="1:28" ht="12.75" customHeight="1">
      <c r="A547" s="902"/>
      <c r="B547" s="903"/>
      <c r="C547" s="720"/>
      <c r="D547" s="720"/>
      <c r="E547" s="720"/>
      <c r="F547" s="720"/>
      <c r="G547" s="906"/>
      <c r="H547" s="720"/>
      <c r="I547" s="720"/>
      <c r="J547" s="720"/>
      <c r="K547" s="907"/>
      <c r="L547" s="720"/>
      <c r="M547" s="720"/>
      <c r="N547" s="720"/>
      <c r="O547" s="720"/>
      <c r="P547" s="720"/>
      <c r="Q547" s="720"/>
      <c r="R547" s="720"/>
      <c r="S547" s="720"/>
      <c r="T547" s="720"/>
      <c r="U547" s="720"/>
      <c r="V547" s="720"/>
      <c r="W547" s="720"/>
      <c r="X547" s="720"/>
      <c r="Y547" s="720"/>
      <c r="Z547" s="720"/>
      <c r="AA547" s="720"/>
      <c r="AB547" s="720"/>
    </row>
    <row r="548" spans="1:28" ht="12.75" customHeight="1">
      <c r="A548" s="902"/>
      <c r="B548" s="903"/>
      <c r="C548" s="720"/>
      <c r="D548" s="720"/>
      <c r="E548" s="720"/>
      <c r="F548" s="720"/>
      <c r="G548" s="906"/>
      <c r="H548" s="720"/>
      <c r="I548" s="720"/>
      <c r="J548" s="720"/>
      <c r="K548" s="907"/>
      <c r="L548" s="720"/>
      <c r="M548" s="720"/>
      <c r="N548" s="720"/>
      <c r="O548" s="720"/>
      <c r="P548" s="720"/>
      <c r="Q548" s="720"/>
      <c r="R548" s="720"/>
      <c r="S548" s="720"/>
      <c r="T548" s="720"/>
      <c r="U548" s="720"/>
      <c r="V548" s="720"/>
      <c r="W548" s="720"/>
      <c r="X548" s="720"/>
      <c r="Y548" s="720"/>
      <c r="Z548" s="720"/>
      <c r="AA548" s="720"/>
      <c r="AB548" s="720"/>
    </row>
    <row r="549" spans="1:28" ht="12.75" customHeight="1">
      <c r="A549" s="902"/>
      <c r="B549" s="903"/>
      <c r="C549" s="720"/>
      <c r="D549" s="720"/>
      <c r="E549" s="720"/>
      <c r="F549" s="720"/>
      <c r="G549" s="906"/>
      <c r="H549" s="720"/>
      <c r="I549" s="720"/>
      <c r="J549" s="720"/>
      <c r="K549" s="907"/>
      <c r="L549" s="720"/>
      <c r="M549" s="720"/>
      <c r="N549" s="720"/>
      <c r="O549" s="720"/>
      <c r="P549" s="720"/>
      <c r="Q549" s="720"/>
      <c r="R549" s="720"/>
      <c r="S549" s="720"/>
      <c r="T549" s="720"/>
      <c r="U549" s="720"/>
      <c r="V549" s="720"/>
      <c r="W549" s="720"/>
      <c r="X549" s="720"/>
      <c r="Y549" s="720"/>
      <c r="Z549" s="720"/>
      <c r="AA549" s="720"/>
      <c r="AB549" s="720"/>
    </row>
    <row r="550" spans="1:28" ht="12.75" customHeight="1">
      <c r="A550" s="902"/>
      <c r="B550" s="903"/>
      <c r="C550" s="720"/>
      <c r="D550" s="720"/>
      <c r="E550" s="720"/>
      <c r="F550" s="720"/>
      <c r="G550" s="906"/>
      <c r="H550" s="720"/>
      <c r="I550" s="720"/>
      <c r="J550" s="720"/>
      <c r="K550" s="907"/>
      <c r="L550" s="720"/>
      <c r="M550" s="720"/>
      <c r="N550" s="720"/>
      <c r="O550" s="720"/>
      <c r="P550" s="720"/>
      <c r="Q550" s="720"/>
      <c r="R550" s="720"/>
      <c r="S550" s="720"/>
      <c r="T550" s="720"/>
      <c r="U550" s="720"/>
      <c r="V550" s="720"/>
      <c r="W550" s="720"/>
      <c r="X550" s="720"/>
      <c r="Y550" s="720"/>
      <c r="Z550" s="720"/>
      <c r="AA550" s="720"/>
      <c r="AB550" s="720"/>
    </row>
    <row r="551" spans="1:28" ht="12.75" customHeight="1">
      <c r="A551" s="902"/>
      <c r="B551" s="903"/>
      <c r="C551" s="720"/>
      <c r="D551" s="720"/>
      <c r="E551" s="720"/>
      <c r="F551" s="720"/>
      <c r="G551" s="906"/>
      <c r="H551" s="720"/>
      <c r="I551" s="720"/>
      <c r="J551" s="720"/>
      <c r="K551" s="907"/>
      <c r="L551" s="720"/>
      <c r="M551" s="720"/>
      <c r="N551" s="720"/>
      <c r="O551" s="720"/>
      <c r="P551" s="720"/>
      <c r="Q551" s="720"/>
      <c r="R551" s="720"/>
      <c r="S551" s="720"/>
      <c r="T551" s="720"/>
      <c r="U551" s="720"/>
      <c r="V551" s="720"/>
      <c r="W551" s="720"/>
      <c r="X551" s="720"/>
      <c r="Y551" s="720"/>
      <c r="Z551" s="720"/>
      <c r="AA551" s="720"/>
      <c r="AB551" s="720"/>
    </row>
    <row r="552" spans="1:28" ht="12.75" customHeight="1">
      <c r="A552" s="902"/>
      <c r="B552" s="903"/>
      <c r="C552" s="720"/>
      <c r="D552" s="720"/>
      <c r="E552" s="720"/>
      <c r="F552" s="720"/>
      <c r="G552" s="906"/>
      <c r="H552" s="720"/>
      <c r="I552" s="720"/>
      <c r="J552" s="720"/>
      <c r="K552" s="907"/>
      <c r="L552" s="720"/>
      <c r="M552" s="720"/>
      <c r="N552" s="720"/>
      <c r="O552" s="720"/>
      <c r="P552" s="720"/>
      <c r="Q552" s="720"/>
      <c r="R552" s="720"/>
      <c r="S552" s="720"/>
      <c r="T552" s="720"/>
      <c r="U552" s="720"/>
      <c r="V552" s="720"/>
      <c r="W552" s="720"/>
      <c r="X552" s="720"/>
      <c r="Y552" s="720"/>
      <c r="Z552" s="720"/>
      <c r="AA552" s="720"/>
      <c r="AB552" s="720"/>
    </row>
    <row r="553" spans="1:28" ht="12.75" customHeight="1">
      <c r="A553" s="902"/>
      <c r="B553" s="903"/>
      <c r="C553" s="720"/>
      <c r="D553" s="720"/>
      <c r="E553" s="720"/>
      <c r="F553" s="720"/>
      <c r="G553" s="906"/>
      <c r="H553" s="720"/>
      <c r="I553" s="720"/>
      <c r="J553" s="720"/>
      <c r="K553" s="907"/>
      <c r="L553" s="720"/>
      <c r="M553" s="720"/>
      <c r="N553" s="720"/>
      <c r="O553" s="720"/>
      <c r="P553" s="720"/>
      <c r="Q553" s="720"/>
      <c r="R553" s="720"/>
      <c r="S553" s="720"/>
      <c r="T553" s="720"/>
      <c r="U553" s="720"/>
      <c r="V553" s="720"/>
      <c r="W553" s="720"/>
      <c r="X553" s="720"/>
      <c r="Y553" s="720"/>
      <c r="Z553" s="720"/>
      <c r="AA553" s="720"/>
      <c r="AB553" s="720"/>
    </row>
    <row r="554" spans="1:28" ht="12.75" customHeight="1">
      <c r="A554" s="902"/>
      <c r="B554" s="903"/>
      <c r="C554" s="720"/>
      <c r="D554" s="720"/>
      <c r="E554" s="720"/>
      <c r="F554" s="720"/>
      <c r="G554" s="906"/>
      <c r="H554" s="720"/>
      <c r="I554" s="720"/>
      <c r="J554" s="720"/>
      <c r="K554" s="907"/>
      <c r="L554" s="720"/>
      <c r="M554" s="720"/>
      <c r="N554" s="720"/>
      <c r="O554" s="720"/>
      <c r="P554" s="720"/>
      <c r="Q554" s="720"/>
      <c r="R554" s="720"/>
      <c r="S554" s="720"/>
      <c r="T554" s="720"/>
      <c r="U554" s="720"/>
      <c r="V554" s="720"/>
      <c r="W554" s="720"/>
      <c r="X554" s="720"/>
      <c r="Y554" s="720"/>
      <c r="Z554" s="720"/>
      <c r="AA554" s="720"/>
      <c r="AB554" s="720"/>
    </row>
    <row r="555" spans="1:28" ht="12.75" customHeight="1">
      <c r="A555" s="902"/>
      <c r="B555" s="903"/>
      <c r="C555" s="720"/>
      <c r="D555" s="720"/>
      <c r="E555" s="720"/>
      <c r="F555" s="720"/>
      <c r="G555" s="906"/>
      <c r="H555" s="720"/>
      <c r="I555" s="720"/>
      <c r="J555" s="720"/>
      <c r="K555" s="907"/>
      <c r="L555" s="720"/>
      <c r="M555" s="720"/>
      <c r="N555" s="720"/>
      <c r="O555" s="720"/>
      <c r="P555" s="720"/>
      <c r="Q555" s="720"/>
      <c r="R555" s="720"/>
      <c r="S555" s="720"/>
      <c r="T555" s="720"/>
      <c r="U555" s="720"/>
      <c r="V555" s="720"/>
      <c r="W555" s="720"/>
      <c r="X555" s="720"/>
      <c r="Y555" s="720"/>
      <c r="Z555" s="720"/>
      <c r="AA555" s="720"/>
      <c r="AB555" s="720"/>
    </row>
    <row r="556" spans="1:28" ht="12.75" customHeight="1">
      <c r="A556" s="902"/>
      <c r="B556" s="903"/>
      <c r="C556" s="720"/>
      <c r="D556" s="720"/>
      <c r="E556" s="720"/>
      <c r="F556" s="720"/>
      <c r="G556" s="906"/>
      <c r="H556" s="720"/>
      <c r="I556" s="720"/>
      <c r="J556" s="720"/>
      <c r="K556" s="907"/>
      <c r="L556" s="720"/>
      <c r="M556" s="720"/>
      <c r="N556" s="720"/>
      <c r="O556" s="720"/>
      <c r="P556" s="720"/>
      <c r="Q556" s="720"/>
      <c r="R556" s="720"/>
      <c r="S556" s="720"/>
      <c r="T556" s="720"/>
      <c r="U556" s="720"/>
      <c r="V556" s="720"/>
      <c r="W556" s="720"/>
      <c r="X556" s="720"/>
      <c r="Y556" s="720"/>
      <c r="Z556" s="720"/>
      <c r="AA556" s="720"/>
      <c r="AB556" s="720"/>
    </row>
    <row r="557" spans="1:28" ht="12.75" customHeight="1">
      <c r="A557" s="902"/>
      <c r="B557" s="903"/>
      <c r="C557" s="720"/>
      <c r="D557" s="720"/>
      <c r="E557" s="720"/>
      <c r="F557" s="720"/>
      <c r="G557" s="906"/>
      <c r="H557" s="720"/>
      <c r="I557" s="720"/>
      <c r="J557" s="720"/>
      <c r="K557" s="907"/>
      <c r="L557" s="720"/>
      <c r="M557" s="720"/>
      <c r="N557" s="720"/>
      <c r="O557" s="720"/>
      <c r="P557" s="720"/>
      <c r="Q557" s="720"/>
      <c r="R557" s="720"/>
      <c r="S557" s="720"/>
      <c r="T557" s="720"/>
      <c r="U557" s="720"/>
      <c r="V557" s="720"/>
      <c r="W557" s="720"/>
      <c r="X557" s="720"/>
      <c r="Y557" s="720"/>
      <c r="Z557" s="720"/>
      <c r="AA557" s="720"/>
      <c r="AB557" s="720"/>
    </row>
    <row r="558" spans="1:28" ht="12.75" customHeight="1">
      <c r="A558" s="902"/>
      <c r="B558" s="903"/>
      <c r="C558" s="720"/>
      <c r="D558" s="720"/>
      <c r="E558" s="720"/>
      <c r="F558" s="720"/>
      <c r="G558" s="906"/>
      <c r="H558" s="720"/>
      <c r="I558" s="720"/>
      <c r="J558" s="720"/>
      <c r="K558" s="907"/>
      <c r="L558" s="720"/>
      <c r="M558" s="720"/>
      <c r="N558" s="720"/>
      <c r="O558" s="720"/>
      <c r="P558" s="720"/>
      <c r="Q558" s="720"/>
      <c r="R558" s="720"/>
      <c r="S558" s="720"/>
      <c r="T558" s="720"/>
      <c r="U558" s="720"/>
      <c r="V558" s="720"/>
      <c r="W558" s="720"/>
      <c r="X558" s="720"/>
      <c r="Y558" s="720"/>
      <c r="Z558" s="720"/>
      <c r="AA558" s="720"/>
      <c r="AB558" s="720"/>
    </row>
    <row r="559" spans="1:28" ht="12.75" customHeight="1">
      <c r="A559" s="902"/>
      <c r="B559" s="903"/>
      <c r="C559" s="720"/>
      <c r="D559" s="720"/>
      <c r="E559" s="720"/>
      <c r="F559" s="720"/>
      <c r="G559" s="906"/>
      <c r="H559" s="720"/>
      <c r="I559" s="720"/>
      <c r="J559" s="720"/>
      <c r="K559" s="907"/>
      <c r="L559" s="720"/>
      <c r="M559" s="720"/>
      <c r="N559" s="720"/>
      <c r="O559" s="720"/>
      <c r="P559" s="720"/>
      <c r="Q559" s="720"/>
      <c r="R559" s="720"/>
      <c r="S559" s="720"/>
      <c r="T559" s="720"/>
      <c r="U559" s="720"/>
      <c r="V559" s="720"/>
      <c r="W559" s="720"/>
      <c r="X559" s="720"/>
      <c r="Y559" s="720"/>
      <c r="Z559" s="720"/>
      <c r="AA559" s="720"/>
      <c r="AB559" s="720"/>
    </row>
    <row r="560" spans="1:28" ht="12.75" customHeight="1">
      <c r="A560" s="902"/>
      <c r="B560" s="903"/>
      <c r="C560" s="720"/>
      <c r="D560" s="720"/>
      <c r="E560" s="720"/>
      <c r="F560" s="720"/>
      <c r="G560" s="906"/>
      <c r="H560" s="720"/>
      <c r="I560" s="720"/>
      <c r="J560" s="720"/>
      <c r="K560" s="907"/>
      <c r="L560" s="720"/>
      <c r="M560" s="720"/>
      <c r="N560" s="720"/>
      <c r="O560" s="720"/>
      <c r="P560" s="720"/>
      <c r="Q560" s="720"/>
      <c r="R560" s="720"/>
      <c r="S560" s="720"/>
      <c r="T560" s="720"/>
      <c r="U560" s="720"/>
      <c r="V560" s="720"/>
      <c r="W560" s="720"/>
      <c r="X560" s="720"/>
      <c r="Y560" s="720"/>
      <c r="Z560" s="720"/>
      <c r="AA560" s="720"/>
      <c r="AB560" s="720"/>
    </row>
    <row r="561" spans="1:28" ht="12.75" customHeight="1">
      <c r="A561" s="902"/>
      <c r="B561" s="903"/>
      <c r="C561" s="720"/>
      <c r="D561" s="720"/>
      <c r="E561" s="720"/>
      <c r="F561" s="720"/>
      <c r="G561" s="906"/>
      <c r="H561" s="720"/>
      <c r="I561" s="720"/>
      <c r="J561" s="720"/>
      <c r="K561" s="907"/>
      <c r="L561" s="720"/>
      <c r="M561" s="720"/>
      <c r="N561" s="720"/>
      <c r="O561" s="720"/>
      <c r="P561" s="720"/>
      <c r="Q561" s="720"/>
      <c r="R561" s="720"/>
      <c r="S561" s="720"/>
      <c r="T561" s="720"/>
      <c r="U561" s="720"/>
      <c r="V561" s="720"/>
      <c r="W561" s="720"/>
      <c r="X561" s="720"/>
      <c r="Y561" s="720"/>
      <c r="Z561" s="720"/>
      <c r="AA561" s="720"/>
      <c r="AB561" s="720"/>
    </row>
    <row r="562" spans="1:28" ht="12.75" customHeight="1">
      <c r="A562" s="902"/>
      <c r="B562" s="903"/>
      <c r="C562" s="720"/>
      <c r="D562" s="720"/>
      <c r="E562" s="720"/>
      <c r="F562" s="720"/>
      <c r="G562" s="906"/>
      <c r="H562" s="720"/>
      <c r="I562" s="720"/>
      <c r="J562" s="720"/>
      <c r="K562" s="907"/>
      <c r="L562" s="720"/>
      <c r="M562" s="720"/>
      <c r="N562" s="720"/>
      <c r="O562" s="720"/>
      <c r="P562" s="720"/>
      <c r="Q562" s="720"/>
      <c r="R562" s="720"/>
      <c r="S562" s="720"/>
      <c r="T562" s="720"/>
      <c r="U562" s="720"/>
      <c r="V562" s="720"/>
      <c r="W562" s="720"/>
      <c r="X562" s="720"/>
      <c r="Y562" s="720"/>
      <c r="Z562" s="720"/>
      <c r="AA562" s="720"/>
      <c r="AB562" s="720"/>
    </row>
    <row r="563" spans="1:28" ht="12.75" customHeight="1">
      <c r="A563" s="902"/>
      <c r="B563" s="903"/>
      <c r="C563" s="720"/>
      <c r="D563" s="720"/>
      <c r="E563" s="720"/>
      <c r="F563" s="720"/>
      <c r="G563" s="906"/>
      <c r="H563" s="720"/>
      <c r="I563" s="720"/>
      <c r="J563" s="720"/>
      <c r="K563" s="907"/>
      <c r="L563" s="720"/>
      <c r="M563" s="720"/>
      <c r="N563" s="720"/>
      <c r="O563" s="720"/>
      <c r="P563" s="720"/>
      <c r="Q563" s="720"/>
      <c r="R563" s="720"/>
      <c r="S563" s="720"/>
      <c r="T563" s="720"/>
      <c r="U563" s="720"/>
      <c r="V563" s="720"/>
      <c r="W563" s="720"/>
      <c r="X563" s="720"/>
      <c r="Y563" s="720"/>
      <c r="Z563" s="720"/>
      <c r="AA563" s="720"/>
      <c r="AB563" s="720"/>
    </row>
    <row r="564" spans="1:28" ht="12.75" customHeight="1">
      <c r="A564" s="902"/>
      <c r="B564" s="903"/>
      <c r="C564" s="720"/>
      <c r="D564" s="720"/>
      <c r="E564" s="720"/>
      <c r="F564" s="720"/>
      <c r="G564" s="906"/>
      <c r="H564" s="720"/>
      <c r="I564" s="720"/>
      <c r="J564" s="720"/>
      <c r="K564" s="907"/>
      <c r="L564" s="720"/>
      <c r="M564" s="720"/>
      <c r="N564" s="720"/>
      <c r="O564" s="720"/>
      <c r="P564" s="720"/>
      <c r="Q564" s="720"/>
      <c r="R564" s="720"/>
      <c r="S564" s="720"/>
      <c r="T564" s="720"/>
      <c r="U564" s="720"/>
      <c r="V564" s="720"/>
      <c r="W564" s="720"/>
      <c r="X564" s="720"/>
      <c r="Y564" s="720"/>
      <c r="Z564" s="720"/>
      <c r="AA564" s="720"/>
      <c r="AB564" s="720"/>
    </row>
    <row r="565" spans="1:28" ht="12.75" customHeight="1">
      <c r="A565" s="902"/>
      <c r="B565" s="903"/>
      <c r="C565" s="720"/>
      <c r="D565" s="720"/>
      <c r="E565" s="720"/>
      <c r="F565" s="720"/>
      <c r="G565" s="906"/>
      <c r="H565" s="720"/>
      <c r="I565" s="720"/>
      <c r="J565" s="720"/>
      <c r="K565" s="907"/>
      <c r="L565" s="720"/>
      <c r="M565" s="720"/>
      <c r="N565" s="720"/>
      <c r="O565" s="720"/>
      <c r="P565" s="720"/>
      <c r="Q565" s="720"/>
      <c r="R565" s="720"/>
      <c r="S565" s="720"/>
      <c r="T565" s="720"/>
      <c r="U565" s="720"/>
      <c r="V565" s="720"/>
      <c r="W565" s="720"/>
      <c r="X565" s="720"/>
      <c r="Y565" s="720"/>
      <c r="Z565" s="720"/>
      <c r="AA565" s="720"/>
      <c r="AB565" s="720"/>
    </row>
    <row r="566" spans="1:28" ht="12.75" customHeight="1">
      <c r="A566" s="902"/>
      <c r="B566" s="903"/>
      <c r="C566" s="720"/>
      <c r="D566" s="720"/>
      <c r="E566" s="720"/>
      <c r="F566" s="720"/>
      <c r="G566" s="906"/>
      <c r="H566" s="720"/>
      <c r="I566" s="720"/>
      <c r="J566" s="720"/>
      <c r="K566" s="907"/>
      <c r="L566" s="720"/>
      <c r="M566" s="720"/>
      <c r="N566" s="720"/>
      <c r="O566" s="720"/>
      <c r="P566" s="720"/>
      <c r="Q566" s="720"/>
      <c r="R566" s="720"/>
      <c r="S566" s="720"/>
      <c r="T566" s="720"/>
      <c r="U566" s="720"/>
      <c r="V566" s="720"/>
      <c r="W566" s="720"/>
      <c r="X566" s="720"/>
      <c r="Y566" s="720"/>
      <c r="Z566" s="720"/>
      <c r="AA566" s="720"/>
      <c r="AB566" s="720"/>
    </row>
    <row r="567" spans="1:28" ht="12.75" customHeight="1">
      <c r="A567" s="902"/>
      <c r="B567" s="903"/>
      <c r="C567" s="720"/>
      <c r="D567" s="720"/>
      <c r="E567" s="720"/>
      <c r="F567" s="720"/>
      <c r="G567" s="906"/>
      <c r="H567" s="720"/>
      <c r="I567" s="720"/>
      <c r="J567" s="720"/>
      <c r="K567" s="907"/>
      <c r="L567" s="720"/>
      <c r="M567" s="720"/>
      <c r="N567" s="720"/>
      <c r="O567" s="720"/>
      <c r="P567" s="720"/>
      <c r="Q567" s="720"/>
      <c r="R567" s="720"/>
      <c r="S567" s="720"/>
      <c r="T567" s="720"/>
      <c r="U567" s="720"/>
      <c r="V567" s="720"/>
      <c r="W567" s="720"/>
      <c r="X567" s="720"/>
      <c r="Y567" s="720"/>
      <c r="Z567" s="720"/>
      <c r="AA567" s="720"/>
      <c r="AB567" s="720"/>
    </row>
    <row r="568" spans="1:28" ht="12.75" customHeight="1">
      <c r="A568" s="902"/>
      <c r="B568" s="903"/>
      <c r="C568" s="720"/>
      <c r="D568" s="720"/>
      <c r="E568" s="720"/>
      <c r="F568" s="720"/>
      <c r="G568" s="906"/>
      <c r="H568" s="720"/>
      <c r="I568" s="720"/>
      <c r="J568" s="720"/>
      <c r="K568" s="907"/>
      <c r="L568" s="720"/>
      <c r="M568" s="720"/>
      <c r="N568" s="720"/>
      <c r="O568" s="720"/>
      <c r="P568" s="720"/>
      <c r="Q568" s="720"/>
      <c r="R568" s="720"/>
      <c r="S568" s="720"/>
      <c r="T568" s="720"/>
      <c r="U568" s="720"/>
      <c r="V568" s="720"/>
      <c r="W568" s="720"/>
      <c r="X568" s="720"/>
      <c r="Y568" s="720"/>
      <c r="Z568" s="720"/>
      <c r="AA568" s="720"/>
      <c r="AB568" s="720"/>
    </row>
    <row r="569" spans="1:28" ht="12.75" customHeight="1">
      <c r="A569" s="902"/>
      <c r="B569" s="903"/>
      <c r="C569" s="720"/>
      <c r="D569" s="720"/>
      <c r="E569" s="720"/>
      <c r="F569" s="720"/>
      <c r="G569" s="906"/>
      <c r="H569" s="720"/>
      <c r="I569" s="720"/>
      <c r="J569" s="720"/>
      <c r="K569" s="907"/>
      <c r="L569" s="720"/>
      <c r="M569" s="720"/>
      <c r="N569" s="720"/>
      <c r="O569" s="720"/>
      <c r="P569" s="720"/>
      <c r="Q569" s="720"/>
      <c r="R569" s="720"/>
      <c r="S569" s="720"/>
      <c r="T569" s="720"/>
      <c r="U569" s="720"/>
      <c r="V569" s="720"/>
      <c r="W569" s="720"/>
      <c r="X569" s="720"/>
      <c r="Y569" s="720"/>
      <c r="Z569" s="720"/>
      <c r="AA569" s="720"/>
      <c r="AB569" s="720"/>
    </row>
    <row r="570" spans="1:28" ht="12.75" customHeight="1">
      <c r="A570" s="902"/>
      <c r="B570" s="903"/>
      <c r="C570" s="720"/>
      <c r="D570" s="720"/>
      <c r="E570" s="720"/>
      <c r="F570" s="720"/>
      <c r="G570" s="906"/>
      <c r="H570" s="720"/>
      <c r="I570" s="720"/>
      <c r="J570" s="720"/>
      <c r="K570" s="907"/>
      <c r="L570" s="720"/>
      <c r="M570" s="720"/>
      <c r="N570" s="720"/>
      <c r="O570" s="720"/>
      <c r="P570" s="720"/>
      <c r="Q570" s="720"/>
      <c r="R570" s="720"/>
      <c r="S570" s="720"/>
      <c r="T570" s="720"/>
      <c r="U570" s="720"/>
      <c r="V570" s="720"/>
      <c r="W570" s="720"/>
      <c r="X570" s="720"/>
      <c r="Y570" s="720"/>
      <c r="Z570" s="720"/>
      <c r="AA570" s="720"/>
      <c r="AB570" s="720"/>
    </row>
    <row r="571" spans="1:28" ht="12.75" customHeight="1">
      <c r="A571" s="902"/>
      <c r="B571" s="903"/>
      <c r="C571" s="720"/>
      <c r="D571" s="720"/>
      <c r="E571" s="720"/>
      <c r="F571" s="720"/>
      <c r="G571" s="906"/>
      <c r="H571" s="720"/>
      <c r="I571" s="720"/>
      <c r="J571" s="720"/>
      <c r="K571" s="907"/>
      <c r="L571" s="720"/>
      <c r="M571" s="720"/>
      <c r="N571" s="720"/>
      <c r="O571" s="720"/>
      <c r="P571" s="720"/>
      <c r="Q571" s="720"/>
      <c r="R571" s="720"/>
      <c r="S571" s="720"/>
      <c r="T571" s="720"/>
      <c r="U571" s="720"/>
      <c r="V571" s="720"/>
      <c r="W571" s="720"/>
      <c r="X571" s="720"/>
      <c r="Y571" s="720"/>
      <c r="Z571" s="720"/>
      <c r="AA571" s="720"/>
      <c r="AB571" s="720"/>
    </row>
    <row r="572" spans="1:28" ht="12.75" customHeight="1">
      <c r="A572" s="902"/>
      <c r="B572" s="903"/>
      <c r="C572" s="720"/>
      <c r="D572" s="720"/>
      <c r="E572" s="720"/>
      <c r="F572" s="720"/>
      <c r="G572" s="906"/>
      <c r="H572" s="720"/>
      <c r="I572" s="720"/>
      <c r="J572" s="720"/>
      <c r="K572" s="907"/>
      <c r="L572" s="720"/>
      <c r="M572" s="720"/>
      <c r="N572" s="720"/>
      <c r="O572" s="720"/>
      <c r="P572" s="720"/>
      <c r="Q572" s="720"/>
      <c r="R572" s="720"/>
      <c r="S572" s="720"/>
      <c r="T572" s="720"/>
      <c r="U572" s="720"/>
      <c r="V572" s="720"/>
      <c r="W572" s="720"/>
      <c r="X572" s="720"/>
      <c r="Y572" s="720"/>
      <c r="Z572" s="720"/>
      <c r="AA572" s="720"/>
      <c r="AB572" s="720"/>
    </row>
    <row r="573" spans="1:28" ht="12.75" customHeight="1">
      <c r="A573" s="902"/>
      <c r="B573" s="903"/>
      <c r="C573" s="720"/>
      <c r="D573" s="720"/>
      <c r="E573" s="720"/>
      <c r="F573" s="720"/>
      <c r="G573" s="906"/>
      <c r="H573" s="720"/>
      <c r="I573" s="720"/>
      <c r="J573" s="720"/>
      <c r="K573" s="907"/>
      <c r="L573" s="720"/>
      <c r="M573" s="720"/>
      <c r="N573" s="720"/>
      <c r="O573" s="720"/>
      <c r="P573" s="720"/>
      <c r="Q573" s="720"/>
      <c r="R573" s="720"/>
      <c r="S573" s="720"/>
      <c r="T573" s="720"/>
      <c r="U573" s="720"/>
      <c r="V573" s="720"/>
      <c r="W573" s="720"/>
      <c r="X573" s="720"/>
      <c r="Y573" s="720"/>
      <c r="Z573" s="720"/>
      <c r="AA573" s="720"/>
      <c r="AB573" s="720"/>
    </row>
    <row r="574" spans="1:28" ht="12.75" customHeight="1">
      <c r="A574" s="902"/>
      <c r="B574" s="903"/>
      <c r="C574" s="720"/>
      <c r="D574" s="720"/>
      <c r="E574" s="720"/>
      <c r="F574" s="720"/>
      <c r="G574" s="906"/>
      <c r="H574" s="720"/>
      <c r="I574" s="720"/>
      <c r="J574" s="720"/>
      <c r="K574" s="907"/>
      <c r="L574" s="720"/>
      <c r="M574" s="720"/>
      <c r="N574" s="720"/>
      <c r="O574" s="720"/>
      <c r="P574" s="720"/>
      <c r="Q574" s="720"/>
      <c r="R574" s="720"/>
      <c r="S574" s="720"/>
      <c r="T574" s="720"/>
      <c r="U574" s="720"/>
      <c r="V574" s="720"/>
      <c r="W574" s="720"/>
      <c r="X574" s="720"/>
      <c r="Y574" s="720"/>
      <c r="Z574" s="720"/>
      <c r="AA574" s="720"/>
      <c r="AB574" s="720"/>
    </row>
    <row r="575" spans="1:28" ht="12.75" customHeight="1">
      <c r="A575" s="902"/>
      <c r="B575" s="903"/>
      <c r="C575" s="720"/>
      <c r="D575" s="720"/>
      <c r="E575" s="720"/>
      <c r="F575" s="720"/>
      <c r="G575" s="906"/>
      <c r="H575" s="720"/>
      <c r="I575" s="720"/>
      <c r="J575" s="720"/>
      <c r="K575" s="907"/>
      <c r="L575" s="720"/>
      <c r="M575" s="720"/>
      <c r="N575" s="720"/>
      <c r="O575" s="720"/>
      <c r="P575" s="720"/>
      <c r="Q575" s="720"/>
      <c r="R575" s="720"/>
      <c r="S575" s="720"/>
      <c r="T575" s="720"/>
      <c r="U575" s="720"/>
      <c r="V575" s="720"/>
      <c r="W575" s="720"/>
      <c r="X575" s="720"/>
      <c r="Y575" s="720"/>
      <c r="Z575" s="720"/>
      <c r="AA575" s="720"/>
      <c r="AB575" s="720"/>
    </row>
    <row r="576" spans="1:28" ht="12.75" customHeight="1">
      <c r="A576" s="902"/>
      <c r="B576" s="903"/>
      <c r="C576" s="720"/>
      <c r="D576" s="720"/>
      <c r="E576" s="720"/>
      <c r="F576" s="720"/>
      <c r="G576" s="906"/>
      <c r="H576" s="720"/>
      <c r="I576" s="720"/>
      <c r="J576" s="720"/>
      <c r="K576" s="907"/>
      <c r="L576" s="720"/>
      <c r="M576" s="720"/>
      <c r="N576" s="720"/>
      <c r="O576" s="720"/>
      <c r="P576" s="720"/>
      <c r="Q576" s="720"/>
      <c r="R576" s="720"/>
      <c r="S576" s="720"/>
      <c r="T576" s="720"/>
      <c r="U576" s="720"/>
      <c r="V576" s="720"/>
      <c r="W576" s="720"/>
      <c r="X576" s="720"/>
      <c r="Y576" s="720"/>
      <c r="Z576" s="720"/>
      <c r="AA576" s="720"/>
      <c r="AB576" s="720"/>
    </row>
    <row r="577" spans="1:28" ht="12.75" customHeight="1">
      <c r="A577" s="902"/>
      <c r="B577" s="903"/>
      <c r="C577" s="720"/>
      <c r="D577" s="720"/>
      <c r="E577" s="720"/>
      <c r="F577" s="720"/>
      <c r="G577" s="906"/>
      <c r="H577" s="720"/>
      <c r="I577" s="720"/>
      <c r="J577" s="720"/>
      <c r="K577" s="907"/>
      <c r="L577" s="720"/>
      <c r="M577" s="720"/>
      <c r="N577" s="720"/>
      <c r="O577" s="720"/>
      <c r="P577" s="720"/>
      <c r="Q577" s="720"/>
      <c r="R577" s="720"/>
      <c r="S577" s="720"/>
      <c r="T577" s="720"/>
      <c r="U577" s="720"/>
      <c r="V577" s="720"/>
      <c r="W577" s="720"/>
      <c r="X577" s="720"/>
      <c r="Y577" s="720"/>
      <c r="Z577" s="720"/>
      <c r="AA577" s="720"/>
      <c r="AB577" s="720"/>
    </row>
    <row r="578" spans="1:28" ht="12.75" customHeight="1">
      <c r="A578" s="902"/>
      <c r="B578" s="903"/>
      <c r="C578" s="720"/>
      <c r="D578" s="720"/>
      <c r="E578" s="720"/>
      <c r="F578" s="720"/>
      <c r="G578" s="906"/>
      <c r="H578" s="720"/>
      <c r="I578" s="720"/>
      <c r="J578" s="720"/>
      <c r="K578" s="907"/>
      <c r="L578" s="720"/>
      <c r="M578" s="720"/>
      <c r="N578" s="720"/>
      <c r="O578" s="720"/>
      <c r="P578" s="720"/>
      <c r="Q578" s="720"/>
      <c r="R578" s="720"/>
      <c r="S578" s="720"/>
      <c r="T578" s="720"/>
      <c r="U578" s="720"/>
      <c r="V578" s="720"/>
      <c r="W578" s="720"/>
      <c r="X578" s="720"/>
      <c r="Y578" s="720"/>
      <c r="Z578" s="720"/>
      <c r="AA578" s="720"/>
      <c r="AB578" s="720"/>
    </row>
    <row r="579" spans="1:28" ht="12.75" customHeight="1">
      <c r="A579" s="902"/>
      <c r="B579" s="903"/>
      <c r="C579" s="720"/>
      <c r="D579" s="720"/>
      <c r="E579" s="720"/>
      <c r="F579" s="720"/>
      <c r="G579" s="906"/>
      <c r="H579" s="720"/>
      <c r="I579" s="720"/>
      <c r="J579" s="720"/>
      <c r="K579" s="907"/>
      <c r="L579" s="720"/>
      <c r="M579" s="720"/>
      <c r="N579" s="720"/>
      <c r="O579" s="720"/>
      <c r="P579" s="720"/>
      <c r="Q579" s="720"/>
      <c r="R579" s="720"/>
      <c r="S579" s="720"/>
      <c r="T579" s="720"/>
      <c r="U579" s="720"/>
      <c r="V579" s="720"/>
      <c r="W579" s="720"/>
      <c r="X579" s="720"/>
      <c r="Y579" s="720"/>
      <c r="Z579" s="720"/>
      <c r="AA579" s="720"/>
      <c r="AB579" s="720"/>
    </row>
    <row r="580" spans="1:28" ht="12.75" customHeight="1">
      <c r="A580" s="902"/>
      <c r="B580" s="903"/>
      <c r="C580" s="720"/>
      <c r="D580" s="720"/>
      <c r="E580" s="720"/>
      <c r="F580" s="720"/>
      <c r="G580" s="906"/>
      <c r="H580" s="720"/>
      <c r="I580" s="720"/>
      <c r="J580" s="720"/>
      <c r="K580" s="907"/>
      <c r="L580" s="720"/>
      <c r="M580" s="720"/>
      <c r="N580" s="720"/>
      <c r="O580" s="720"/>
      <c r="P580" s="720"/>
      <c r="Q580" s="720"/>
      <c r="R580" s="720"/>
      <c r="S580" s="720"/>
      <c r="T580" s="720"/>
      <c r="U580" s="720"/>
      <c r="V580" s="720"/>
      <c r="W580" s="720"/>
      <c r="X580" s="720"/>
      <c r="Y580" s="720"/>
      <c r="Z580" s="720"/>
      <c r="AA580" s="720"/>
      <c r="AB580" s="720"/>
    </row>
    <row r="581" spans="1:28" ht="12.75" customHeight="1">
      <c r="A581" s="902"/>
      <c r="B581" s="903"/>
      <c r="C581" s="720"/>
      <c r="D581" s="720"/>
      <c r="E581" s="720"/>
      <c r="F581" s="720"/>
      <c r="G581" s="906"/>
      <c r="H581" s="720"/>
      <c r="I581" s="720"/>
      <c r="J581" s="720"/>
      <c r="K581" s="907"/>
      <c r="L581" s="720"/>
      <c r="M581" s="720"/>
      <c r="N581" s="720"/>
      <c r="O581" s="720"/>
      <c r="P581" s="720"/>
      <c r="Q581" s="720"/>
      <c r="R581" s="720"/>
      <c r="S581" s="720"/>
      <c r="T581" s="720"/>
      <c r="U581" s="720"/>
      <c r="V581" s="720"/>
      <c r="W581" s="720"/>
      <c r="X581" s="720"/>
      <c r="Y581" s="720"/>
      <c r="Z581" s="720"/>
      <c r="AA581" s="720"/>
      <c r="AB581" s="720"/>
    </row>
    <row r="582" spans="1:28" ht="12.75" customHeight="1">
      <c r="A582" s="902"/>
      <c r="B582" s="903"/>
      <c r="C582" s="720"/>
      <c r="D582" s="720"/>
      <c r="E582" s="720"/>
      <c r="F582" s="720"/>
      <c r="G582" s="906"/>
      <c r="H582" s="720"/>
      <c r="I582" s="720"/>
      <c r="J582" s="720"/>
      <c r="K582" s="907"/>
      <c r="L582" s="720"/>
      <c r="M582" s="720"/>
      <c r="N582" s="720"/>
      <c r="O582" s="720"/>
      <c r="P582" s="720"/>
      <c r="Q582" s="720"/>
      <c r="R582" s="720"/>
      <c r="S582" s="720"/>
      <c r="T582" s="720"/>
      <c r="U582" s="720"/>
      <c r="V582" s="720"/>
      <c r="W582" s="720"/>
      <c r="X582" s="720"/>
      <c r="Y582" s="720"/>
      <c r="Z582" s="720"/>
      <c r="AA582" s="720"/>
      <c r="AB582" s="720"/>
    </row>
    <row r="583" spans="1:28" ht="12.75" customHeight="1">
      <c r="A583" s="902"/>
      <c r="B583" s="903"/>
      <c r="C583" s="720"/>
      <c r="D583" s="720"/>
      <c r="E583" s="720"/>
      <c r="F583" s="720"/>
      <c r="G583" s="906"/>
      <c r="H583" s="720"/>
      <c r="I583" s="720"/>
      <c r="J583" s="720"/>
      <c r="K583" s="907"/>
      <c r="L583" s="720"/>
      <c r="M583" s="720"/>
      <c r="N583" s="720"/>
      <c r="O583" s="720"/>
      <c r="P583" s="720"/>
      <c r="Q583" s="720"/>
      <c r="R583" s="720"/>
      <c r="S583" s="720"/>
      <c r="T583" s="720"/>
      <c r="U583" s="720"/>
      <c r="V583" s="720"/>
      <c r="W583" s="720"/>
      <c r="X583" s="720"/>
      <c r="Y583" s="720"/>
      <c r="Z583" s="720"/>
      <c r="AA583" s="720"/>
      <c r="AB583" s="720"/>
    </row>
    <row r="584" spans="1:28" ht="12.75" customHeight="1">
      <c r="A584" s="902"/>
      <c r="B584" s="903"/>
      <c r="C584" s="720"/>
      <c r="D584" s="720"/>
      <c r="E584" s="720"/>
      <c r="F584" s="720"/>
      <c r="G584" s="906"/>
      <c r="H584" s="720"/>
      <c r="I584" s="720"/>
      <c r="J584" s="720"/>
      <c r="K584" s="907"/>
      <c r="L584" s="720"/>
      <c r="M584" s="720"/>
      <c r="N584" s="720"/>
      <c r="O584" s="720"/>
      <c r="P584" s="720"/>
      <c r="Q584" s="720"/>
      <c r="R584" s="720"/>
      <c r="S584" s="720"/>
      <c r="T584" s="720"/>
      <c r="U584" s="720"/>
      <c r="V584" s="720"/>
      <c r="W584" s="720"/>
      <c r="X584" s="720"/>
      <c r="Y584" s="720"/>
      <c r="Z584" s="720"/>
      <c r="AA584" s="720"/>
      <c r="AB584" s="720"/>
    </row>
    <row r="585" spans="1:28" ht="12.75" customHeight="1">
      <c r="A585" s="902"/>
      <c r="B585" s="903"/>
      <c r="C585" s="720"/>
      <c r="D585" s="720"/>
      <c r="E585" s="720"/>
      <c r="F585" s="720"/>
      <c r="G585" s="906"/>
      <c r="H585" s="720"/>
      <c r="I585" s="720"/>
      <c r="J585" s="720"/>
      <c r="K585" s="907"/>
      <c r="L585" s="720"/>
      <c r="M585" s="720"/>
      <c r="N585" s="720"/>
      <c r="O585" s="720"/>
      <c r="P585" s="720"/>
      <c r="Q585" s="720"/>
      <c r="R585" s="720"/>
      <c r="S585" s="720"/>
      <c r="T585" s="720"/>
      <c r="U585" s="720"/>
      <c r="V585" s="720"/>
      <c r="W585" s="720"/>
      <c r="X585" s="720"/>
      <c r="Y585" s="720"/>
      <c r="Z585" s="720"/>
      <c r="AA585" s="720"/>
      <c r="AB585" s="720"/>
    </row>
    <row r="586" spans="1:28" ht="12.75" customHeight="1">
      <c r="A586" s="902"/>
      <c r="B586" s="903"/>
      <c r="C586" s="720"/>
      <c r="D586" s="720"/>
      <c r="E586" s="720"/>
      <c r="F586" s="720"/>
      <c r="G586" s="906"/>
      <c r="H586" s="720"/>
      <c r="I586" s="720"/>
      <c r="J586" s="720"/>
      <c r="K586" s="907"/>
      <c r="L586" s="720"/>
      <c r="M586" s="720"/>
      <c r="N586" s="720"/>
      <c r="O586" s="720"/>
      <c r="P586" s="720"/>
      <c r="Q586" s="720"/>
      <c r="R586" s="720"/>
      <c r="S586" s="720"/>
      <c r="T586" s="720"/>
      <c r="U586" s="720"/>
      <c r="V586" s="720"/>
      <c r="W586" s="720"/>
      <c r="X586" s="720"/>
      <c r="Y586" s="720"/>
      <c r="Z586" s="720"/>
      <c r="AA586" s="720"/>
      <c r="AB586" s="720"/>
    </row>
    <row r="587" spans="1:28" ht="12.75" customHeight="1">
      <c r="A587" s="902"/>
      <c r="B587" s="903"/>
      <c r="C587" s="720"/>
      <c r="D587" s="720"/>
      <c r="E587" s="720"/>
      <c r="F587" s="720"/>
      <c r="G587" s="906"/>
      <c r="H587" s="720"/>
      <c r="I587" s="720"/>
      <c r="J587" s="720"/>
      <c r="K587" s="907"/>
      <c r="L587" s="720"/>
      <c r="M587" s="720"/>
      <c r="N587" s="720"/>
      <c r="O587" s="720"/>
      <c r="P587" s="720"/>
      <c r="Q587" s="720"/>
      <c r="R587" s="720"/>
      <c r="S587" s="720"/>
      <c r="T587" s="720"/>
      <c r="U587" s="720"/>
      <c r="V587" s="720"/>
      <c r="W587" s="720"/>
      <c r="X587" s="720"/>
      <c r="Y587" s="720"/>
      <c r="Z587" s="720"/>
      <c r="AA587" s="720"/>
      <c r="AB587" s="720"/>
    </row>
    <row r="588" spans="1:28" ht="12.75" customHeight="1">
      <c r="A588" s="902"/>
      <c r="B588" s="903"/>
      <c r="C588" s="720"/>
      <c r="D588" s="720"/>
      <c r="E588" s="720"/>
      <c r="F588" s="720"/>
      <c r="G588" s="906"/>
      <c r="H588" s="720"/>
      <c r="I588" s="720"/>
      <c r="J588" s="720"/>
      <c r="K588" s="907"/>
      <c r="L588" s="720"/>
      <c r="M588" s="720"/>
      <c r="N588" s="720"/>
      <c r="O588" s="720"/>
      <c r="P588" s="720"/>
      <c r="Q588" s="720"/>
      <c r="R588" s="720"/>
      <c r="S588" s="720"/>
      <c r="T588" s="720"/>
      <c r="U588" s="720"/>
      <c r="V588" s="720"/>
      <c r="W588" s="720"/>
      <c r="X588" s="720"/>
      <c r="Y588" s="720"/>
      <c r="Z588" s="720"/>
      <c r="AA588" s="720"/>
      <c r="AB588" s="720"/>
    </row>
    <row r="589" spans="1:28" ht="12.75" customHeight="1">
      <c r="A589" s="902"/>
      <c r="B589" s="903"/>
      <c r="C589" s="720"/>
      <c r="D589" s="720"/>
      <c r="E589" s="720"/>
      <c r="F589" s="720"/>
      <c r="G589" s="906"/>
      <c r="H589" s="720"/>
      <c r="I589" s="720"/>
      <c r="J589" s="720"/>
      <c r="K589" s="907"/>
      <c r="L589" s="720"/>
      <c r="M589" s="720"/>
      <c r="N589" s="720"/>
      <c r="O589" s="720"/>
      <c r="P589" s="720"/>
      <c r="Q589" s="720"/>
      <c r="R589" s="720"/>
      <c r="S589" s="720"/>
      <c r="T589" s="720"/>
      <c r="U589" s="720"/>
      <c r="V589" s="720"/>
      <c r="W589" s="720"/>
      <c r="X589" s="720"/>
      <c r="Y589" s="720"/>
      <c r="Z589" s="720"/>
      <c r="AA589" s="720"/>
      <c r="AB589" s="720"/>
    </row>
    <row r="590" spans="1:28" ht="12.75" customHeight="1">
      <c r="A590" s="902"/>
      <c r="B590" s="903"/>
      <c r="C590" s="720"/>
      <c r="D590" s="720"/>
      <c r="E590" s="720"/>
      <c r="F590" s="720"/>
      <c r="G590" s="906"/>
      <c r="H590" s="720"/>
      <c r="I590" s="720"/>
      <c r="J590" s="720"/>
      <c r="K590" s="907"/>
      <c r="L590" s="720"/>
      <c r="M590" s="720"/>
      <c r="N590" s="720"/>
      <c r="O590" s="720"/>
      <c r="P590" s="720"/>
      <c r="Q590" s="720"/>
      <c r="R590" s="720"/>
      <c r="S590" s="720"/>
      <c r="T590" s="720"/>
      <c r="U590" s="720"/>
      <c r="V590" s="720"/>
      <c r="W590" s="720"/>
      <c r="X590" s="720"/>
      <c r="Y590" s="720"/>
      <c r="Z590" s="720"/>
      <c r="AA590" s="720"/>
      <c r="AB590" s="720"/>
    </row>
    <row r="591" spans="1:28" ht="12.75" customHeight="1">
      <c r="A591" s="902"/>
      <c r="B591" s="903"/>
      <c r="C591" s="720"/>
      <c r="D591" s="720"/>
      <c r="E591" s="720"/>
      <c r="F591" s="720"/>
      <c r="G591" s="906"/>
      <c r="H591" s="720"/>
      <c r="I591" s="720"/>
      <c r="J591" s="720"/>
      <c r="K591" s="907"/>
      <c r="L591" s="720"/>
      <c r="M591" s="720"/>
      <c r="N591" s="720"/>
      <c r="O591" s="720"/>
      <c r="P591" s="720"/>
      <c r="Q591" s="720"/>
      <c r="R591" s="720"/>
      <c r="S591" s="720"/>
      <c r="T591" s="720"/>
      <c r="U591" s="720"/>
      <c r="V591" s="720"/>
      <c r="W591" s="720"/>
      <c r="X591" s="720"/>
      <c r="Y591" s="720"/>
      <c r="Z591" s="720"/>
      <c r="AA591" s="720"/>
      <c r="AB591" s="720"/>
    </row>
    <row r="592" spans="1:28" ht="12.75" customHeight="1">
      <c r="A592" s="902"/>
      <c r="B592" s="903"/>
      <c r="C592" s="720"/>
      <c r="D592" s="720"/>
      <c r="E592" s="720"/>
      <c r="F592" s="720"/>
      <c r="G592" s="906"/>
      <c r="H592" s="720"/>
      <c r="I592" s="720"/>
      <c r="J592" s="720"/>
      <c r="K592" s="907"/>
      <c r="L592" s="720"/>
      <c r="M592" s="720"/>
      <c r="N592" s="720"/>
      <c r="O592" s="720"/>
      <c r="P592" s="720"/>
      <c r="Q592" s="720"/>
      <c r="R592" s="720"/>
      <c r="S592" s="720"/>
      <c r="T592" s="720"/>
      <c r="U592" s="720"/>
      <c r="V592" s="720"/>
      <c r="W592" s="720"/>
      <c r="X592" s="720"/>
      <c r="Y592" s="720"/>
      <c r="Z592" s="720"/>
      <c r="AA592" s="720"/>
      <c r="AB592" s="720"/>
    </row>
    <row r="593" spans="1:28" ht="12.75" customHeight="1">
      <c r="A593" s="902"/>
      <c r="B593" s="903"/>
      <c r="C593" s="720"/>
      <c r="D593" s="720"/>
      <c r="E593" s="720"/>
      <c r="F593" s="720"/>
      <c r="G593" s="906"/>
      <c r="H593" s="720"/>
      <c r="I593" s="720"/>
      <c r="J593" s="720"/>
      <c r="K593" s="907"/>
      <c r="L593" s="720"/>
      <c r="M593" s="720"/>
      <c r="N593" s="720"/>
      <c r="O593" s="720"/>
      <c r="P593" s="720"/>
      <c r="Q593" s="720"/>
      <c r="R593" s="720"/>
      <c r="S593" s="720"/>
      <c r="T593" s="720"/>
      <c r="U593" s="720"/>
      <c r="V593" s="720"/>
      <c r="W593" s="720"/>
      <c r="X593" s="720"/>
      <c r="Y593" s="720"/>
      <c r="Z593" s="720"/>
      <c r="AA593" s="720"/>
      <c r="AB593" s="720"/>
    </row>
    <row r="594" spans="1:28" ht="12.75" customHeight="1">
      <c r="A594" s="902"/>
      <c r="B594" s="903"/>
      <c r="C594" s="720"/>
      <c r="D594" s="720"/>
      <c r="E594" s="720"/>
      <c r="F594" s="720"/>
      <c r="G594" s="906"/>
      <c r="H594" s="720"/>
      <c r="I594" s="720"/>
      <c r="J594" s="720"/>
      <c r="K594" s="907"/>
      <c r="L594" s="720"/>
      <c r="M594" s="720"/>
      <c r="N594" s="720"/>
      <c r="O594" s="720"/>
      <c r="P594" s="720"/>
      <c r="Q594" s="720"/>
      <c r="R594" s="720"/>
      <c r="S594" s="720"/>
      <c r="T594" s="720"/>
      <c r="U594" s="720"/>
      <c r="V594" s="720"/>
      <c r="W594" s="720"/>
      <c r="X594" s="720"/>
      <c r="Y594" s="720"/>
      <c r="Z594" s="720"/>
      <c r="AA594" s="720"/>
      <c r="AB594" s="720"/>
    </row>
    <row r="595" spans="1:28" ht="12.75" customHeight="1">
      <c r="A595" s="902"/>
      <c r="B595" s="903"/>
      <c r="C595" s="720"/>
      <c r="D595" s="720"/>
      <c r="E595" s="720"/>
      <c r="F595" s="720"/>
      <c r="G595" s="906"/>
      <c r="H595" s="720"/>
      <c r="I595" s="720"/>
      <c r="J595" s="720"/>
      <c r="K595" s="907"/>
      <c r="L595" s="720"/>
      <c r="M595" s="720"/>
      <c r="N595" s="720"/>
      <c r="O595" s="720"/>
      <c r="P595" s="720"/>
      <c r="Q595" s="720"/>
      <c r="R595" s="720"/>
      <c r="S595" s="720"/>
      <c r="T595" s="720"/>
      <c r="U595" s="720"/>
      <c r="V595" s="720"/>
      <c r="W595" s="720"/>
      <c r="X595" s="720"/>
      <c r="Y595" s="720"/>
      <c r="Z595" s="720"/>
      <c r="AA595" s="720"/>
      <c r="AB595" s="720"/>
    </row>
    <row r="596" spans="1:28" ht="12.75" customHeight="1">
      <c r="A596" s="902"/>
      <c r="B596" s="903"/>
      <c r="C596" s="720"/>
      <c r="D596" s="720"/>
      <c r="E596" s="720"/>
      <c r="F596" s="720"/>
      <c r="G596" s="906"/>
      <c r="H596" s="720"/>
      <c r="I596" s="720"/>
      <c r="J596" s="720"/>
      <c r="K596" s="907"/>
      <c r="L596" s="720"/>
      <c r="M596" s="720"/>
      <c r="N596" s="720"/>
      <c r="O596" s="720"/>
      <c r="P596" s="720"/>
      <c r="Q596" s="720"/>
      <c r="R596" s="720"/>
      <c r="S596" s="720"/>
      <c r="T596" s="720"/>
      <c r="U596" s="720"/>
      <c r="V596" s="720"/>
      <c r="W596" s="720"/>
      <c r="X596" s="720"/>
      <c r="Y596" s="720"/>
      <c r="Z596" s="720"/>
      <c r="AA596" s="720"/>
      <c r="AB596" s="720"/>
    </row>
    <row r="597" spans="1:28" ht="12.75" customHeight="1">
      <c r="A597" s="902"/>
      <c r="B597" s="903"/>
      <c r="C597" s="720"/>
      <c r="D597" s="720"/>
      <c r="E597" s="720"/>
      <c r="F597" s="720"/>
      <c r="G597" s="906"/>
      <c r="H597" s="720"/>
      <c r="I597" s="720"/>
      <c r="J597" s="720"/>
      <c r="K597" s="907"/>
      <c r="L597" s="720"/>
      <c r="M597" s="720"/>
      <c r="N597" s="720"/>
      <c r="O597" s="720"/>
      <c r="P597" s="720"/>
      <c r="Q597" s="720"/>
      <c r="R597" s="720"/>
      <c r="S597" s="720"/>
      <c r="T597" s="720"/>
      <c r="U597" s="720"/>
      <c r="V597" s="720"/>
      <c r="W597" s="720"/>
      <c r="X597" s="720"/>
      <c r="Y597" s="720"/>
      <c r="Z597" s="720"/>
      <c r="AA597" s="720"/>
      <c r="AB597" s="720"/>
    </row>
    <row r="598" spans="1:28" ht="12.75" customHeight="1">
      <c r="A598" s="902"/>
      <c r="B598" s="903"/>
      <c r="C598" s="720"/>
      <c r="D598" s="720"/>
      <c r="E598" s="720"/>
      <c r="F598" s="720"/>
      <c r="G598" s="906"/>
      <c r="H598" s="720"/>
      <c r="I598" s="720"/>
      <c r="J598" s="720"/>
      <c r="K598" s="907"/>
      <c r="L598" s="720"/>
      <c r="M598" s="720"/>
      <c r="N598" s="720"/>
      <c r="O598" s="720"/>
      <c r="P598" s="720"/>
      <c r="Q598" s="720"/>
      <c r="R598" s="720"/>
      <c r="S598" s="720"/>
      <c r="T598" s="720"/>
      <c r="U598" s="720"/>
      <c r="V598" s="720"/>
      <c r="W598" s="720"/>
      <c r="X598" s="720"/>
      <c r="Y598" s="720"/>
      <c r="Z598" s="720"/>
      <c r="AA598" s="720"/>
      <c r="AB598" s="720"/>
    </row>
    <row r="599" spans="1:28" ht="12.75" customHeight="1">
      <c r="A599" s="902"/>
      <c r="B599" s="903"/>
      <c r="C599" s="720"/>
      <c r="D599" s="720"/>
      <c r="E599" s="720"/>
      <c r="F599" s="720"/>
      <c r="G599" s="906"/>
      <c r="H599" s="720"/>
      <c r="I599" s="720"/>
      <c r="J599" s="720"/>
      <c r="K599" s="907"/>
      <c r="L599" s="720"/>
      <c r="M599" s="720"/>
      <c r="N599" s="720"/>
      <c r="O599" s="720"/>
      <c r="P599" s="720"/>
      <c r="Q599" s="720"/>
      <c r="R599" s="720"/>
      <c r="S599" s="720"/>
      <c r="T599" s="720"/>
      <c r="U599" s="720"/>
      <c r="V599" s="720"/>
      <c r="W599" s="720"/>
      <c r="X599" s="720"/>
      <c r="Y599" s="720"/>
      <c r="Z599" s="720"/>
      <c r="AA599" s="720"/>
      <c r="AB599" s="720"/>
    </row>
    <row r="600" spans="1:28" ht="12.75" customHeight="1">
      <c r="A600" s="902"/>
      <c r="B600" s="903"/>
      <c r="C600" s="720"/>
      <c r="D600" s="720"/>
      <c r="E600" s="720"/>
      <c r="F600" s="720"/>
      <c r="G600" s="906"/>
      <c r="H600" s="720"/>
      <c r="I600" s="720"/>
      <c r="J600" s="720"/>
      <c r="K600" s="907"/>
      <c r="L600" s="720"/>
      <c r="M600" s="720"/>
      <c r="N600" s="720"/>
      <c r="O600" s="720"/>
      <c r="P600" s="720"/>
      <c r="Q600" s="720"/>
      <c r="R600" s="720"/>
      <c r="S600" s="720"/>
      <c r="T600" s="720"/>
      <c r="U600" s="720"/>
      <c r="V600" s="720"/>
      <c r="W600" s="720"/>
      <c r="X600" s="720"/>
      <c r="Y600" s="720"/>
      <c r="Z600" s="720"/>
      <c r="AA600" s="720"/>
      <c r="AB600" s="720"/>
    </row>
    <row r="601" spans="1:28" ht="12.75" customHeight="1">
      <c r="A601" s="902"/>
      <c r="B601" s="903"/>
      <c r="C601" s="720"/>
      <c r="D601" s="720"/>
      <c r="E601" s="720"/>
      <c r="F601" s="720"/>
      <c r="G601" s="906"/>
      <c r="H601" s="720"/>
      <c r="I601" s="720"/>
      <c r="J601" s="720"/>
      <c r="K601" s="907"/>
      <c r="L601" s="720"/>
      <c r="M601" s="720"/>
      <c r="N601" s="720"/>
      <c r="O601" s="720"/>
      <c r="P601" s="720"/>
      <c r="Q601" s="720"/>
      <c r="R601" s="720"/>
      <c r="S601" s="720"/>
      <c r="T601" s="720"/>
      <c r="U601" s="720"/>
      <c r="V601" s="720"/>
      <c r="W601" s="720"/>
      <c r="X601" s="720"/>
      <c r="Y601" s="720"/>
      <c r="Z601" s="720"/>
      <c r="AA601" s="720"/>
      <c r="AB601" s="720"/>
    </row>
    <row r="602" spans="1:28" ht="12.75" customHeight="1">
      <c r="A602" s="902"/>
      <c r="B602" s="903"/>
      <c r="C602" s="720"/>
      <c r="D602" s="720"/>
      <c r="E602" s="720"/>
      <c r="F602" s="720"/>
      <c r="G602" s="906"/>
      <c r="H602" s="720"/>
      <c r="I602" s="720"/>
      <c r="J602" s="720"/>
      <c r="K602" s="907"/>
      <c r="L602" s="720"/>
      <c r="M602" s="720"/>
      <c r="N602" s="720"/>
      <c r="O602" s="720"/>
      <c r="P602" s="720"/>
      <c r="Q602" s="720"/>
      <c r="R602" s="720"/>
      <c r="S602" s="720"/>
      <c r="T602" s="720"/>
      <c r="U602" s="720"/>
      <c r="V602" s="720"/>
      <c r="W602" s="720"/>
      <c r="X602" s="720"/>
      <c r="Y602" s="720"/>
      <c r="Z602" s="720"/>
      <c r="AA602" s="720"/>
      <c r="AB602" s="720"/>
    </row>
    <row r="603" spans="1:28" ht="12.75" customHeight="1">
      <c r="A603" s="902"/>
      <c r="B603" s="903"/>
      <c r="C603" s="720"/>
      <c r="D603" s="720"/>
      <c r="E603" s="720"/>
      <c r="F603" s="720"/>
      <c r="G603" s="906"/>
      <c r="H603" s="720"/>
      <c r="I603" s="720"/>
      <c r="J603" s="720"/>
      <c r="K603" s="907"/>
      <c r="L603" s="720"/>
      <c r="M603" s="720"/>
      <c r="N603" s="720"/>
      <c r="O603" s="720"/>
      <c r="P603" s="720"/>
      <c r="Q603" s="720"/>
      <c r="R603" s="720"/>
      <c r="S603" s="720"/>
      <c r="T603" s="720"/>
      <c r="U603" s="720"/>
      <c r="V603" s="720"/>
      <c r="W603" s="720"/>
      <c r="X603" s="720"/>
      <c r="Y603" s="720"/>
      <c r="Z603" s="720"/>
      <c r="AA603" s="720"/>
      <c r="AB603" s="720"/>
    </row>
    <row r="604" spans="1:28" ht="12.75" customHeight="1">
      <c r="A604" s="902"/>
      <c r="B604" s="903"/>
      <c r="C604" s="720"/>
      <c r="D604" s="720"/>
      <c r="E604" s="720"/>
      <c r="F604" s="720"/>
      <c r="G604" s="906"/>
      <c r="H604" s="720"/>
      <c r="I604" s="720"/>
      <c r="J604" s="720"/>
      <c r="K604" s="907"/>
      <c r="L604" s="720"/>
      <c r="M604" s="720"/>
      <c r="N604" s="720"/>
      <c r="O604" s="720"/>
      <c r="P604" s="720"/>
      <c r="Q604" s="720"/>
      <c r="R604" s="720"/>
      <c r="S604" s="720"/>
      <c r="T604" s="720"/>
      <c r="U604" s="720"/>
      <c r="V604" s="720"/>
      <c r="W604" s="720"/>
      <c r="X604" s="720"/>
      <c r="Y604" s="720"/>
      <c r="Z604" s="720"/>
      <c r="AA604" s="720"/>
      <c r="AB604" s="720"/>
    </row>
    <row r="605" spans="1:28" ht="12.75" customHeight="1">
      <c r="A605" s="902"/>
      <c r="B605" s="903"/>
      <c r="C605" s="720"/>
      <c r="D605" s="720"/>
      <c r="E605" s="720"/>
      <c r="F605" s="720"/>
      <c r="G605" s="906"/>
      <c r="H605" s="720"/>
      <c r="I605" s="720"/>
      <c r="J605" s="720"/>
      <c r="K605" s="907"/>
      <c r="L605" s="720"/>
      <c r="M605" s="720"/>
      <c r="N605" s="720"/>
      <c r="O605" s="720"/>
      <c r="P605" s="720"/>
      <c r="Q605" s="720"/>
      <c r="R605" s="720"/>
      <c r="S605" s="720"/>
      <c r="T605" s="720"/>
      <c r="U605" s="720"/>
      <c r="V605" s="720"/>
      <c r="W605" s="720"/>
      <c r="X605" s="720"/>
      <c r="Y605" s="720"/>
      <c r="Z605" s="720"/>
      <c r="AA605" s="720"/>
      <c r="AB605" s="720"/>
    </row>
    <row r="606" spans="1:28" ht="12.75" customHeight="1">
      <c r="A606" s="902"/>
      <c r="B606" s="903"/>
      <c r="C606" s="720"/>
      <c r="D606" s="720"/>
      <c r="E606" s="720"/>
      <c r="F606" s="720"/>
      <c r="G606" s="906"/>
      <c r="H606" s="720"/>
      <c r="I606" s="720"/>
      <c r="J606" s="720"/>
      <c r="K606" s="907"/>
      <c r="L606" s="720"/>
      <c r="M606" s="720"/>
      <c r="N606" s="720"/>
      <c r="O606" s="720"/>
      <c r="P606" s="720"/>
      <c r="Q606" s="720"/>
      <c r="R606" s="720"/>
      <c r="S606" s="720"/>
      <c r="T606" s="720"/>
      <c r="U606" s="720"/>
      <c r="V606" s="720"/>
      <c r="W606" s="720"/>
      <c r="X606" s="720"/>
      <c r="Y606" s="720"/>
      <c r="Z606" s="720"/>
      <c r="AA606" s="720"/>
      <c r="AB606" s="720"/>
    </row>
    <row r="607" spans="1:28" ht="12.75" customHeight="1">
      <c r="A607" s="902"/>
      <c r="B607" s="903"/>
      <c r="C607" s="720"/>
      <c r="D607" s="720"/>
      <c r="E607" s="720"/>
      <c r="F607" s="720"/>
      <c r="G607" s="906"/>
      <c r="H607" s="720"/>
      <c r="I607" s="720"/>
      <c r="J607" s="720"/>
      <c r="K607" s="907"/>
      <c r="L607" s="720"/>
      <c r="M607" s="720"/>
      <c r="N607" s="720"/>
      <c r="O607" s="720"/>
      <c r="P607" s="720"/>
      <c r="Q607" s="720"/>
      <c r="R607" s="720"/>
      <c r="S607" s="720"/>
      <c r="T607" s="720"/>
      <c r="U607" s="720"/>
      <c r="V607" s="720"/>
      <c r="W607" s="720"/>
      <c r="X607" s="720"/>
      <c r="Y607" s="720"/>
      <c r="Z607" s="720"/>
      <c r="AA607" s="720"/>
      <c r="AB607" s="720"/>
    </row>
    <row r="608" spans="1:28" ht="12.75" customHeight="1">
      <c r="A608" s="902"/>
      <c r="B608" s="903"/>
      <c r="C608" s="720"/>
      <c r="D608" s="720"/>
      <c r="E608" s="720"/>
      <c r="F608" s="720"/>
      <c r="G608" s="906"/>
      <c r="H608" s="720"/>
      <c r="I608" s="720"/>
      <c r="J608" s="720"/>
      <c r="K608" s="907"/>
      <c r="L608" s="720"/>
      <c r="M608" s="720"/>
      <c r="N608" s="720"/>
      <c r="O608" s="720"/>
      <c r="P608" s="720"/>
      <c r="Q608" s="720"/>
      <c r="R608" s="720"/>
      <c r="S608" s="720"/>
      <c r="T608" s="720"/>
      <c r="U608" s="720"/>
      <c r="V608" s="720"/>
      <c r="W608" s="720"/>
      <c r="X608" s="720"/>
      <c r="Y608" s="720"/>
      <c r="Z608" s="720"/>
      <c r="AA608" s="720"/>
      <c r="AB608" s="720"/>
    </row>
    <row r="609" spans="1:28" ht="12.75" customHeight="1">
      <c r="A609" s="902"/>
      <c r="B609" s="903"/>
      <c r="C609" s="720"/>
      <c r="D609" s="720"/>
      <c r="E609" s="720"/>
      <c r="F609" s="720"/>
      <c r="G609" s="906"/>
      <c r="H609" s="720"/>
      <c r="I609" s="720"/>
      <c r="J609" s="720"/>
      <c r="K609" s="907"/>
      <c r="L609" s="720"/>
      <c r="M609" s="720"/>
      <c r="N609" s="720"/>
      <c r="O609" s="720"/>
      <c r="P609" s="720"/>
      <c r="Q609" s="720"/>
      <c r="R609" s="720"/>
      <c r="S609" s="720"/>
      <c r="T609" s="720"/>
      <c r="U609" s="720"/>
      <c r="V609" s="720"/>
      <c r="W609" s="720"/>
      <c r="X609" s="720"/>
      <c r="Y609" s="720"/>
      <c r="Z609" s="720"/>
      <c r="AA609" s="720"/>
      <c r="AB609" s="720"/>
    </row>
    <row r="610" spans="1:28" ht="12.75" customHeight="1">
      <c r="A610" s="902"/>
      <c r="B610" s="903"/>
      <c r="C610" s="720"/>
      <c r="D610" s="720"/>
      <c r="E610" s="720"/>
      <c r="F610" s="720"/>
      <c r="G610" s="906"/>
      <c r="H610" s="720"/>
      <c r="I610" s="720"/>
      <c r="J610" s="720"/>
      <c r="K610" s="907"/>
      <c r="L610" s="720"/>
      <c r="M610" s="720"/>
      <c r="N610" s="720"/>
      <c r="O610" s="720"/>
      <c r="P610" s="720"/>
      <c r="Q610" s="720"/>
      <c r="R610" s="720"/>
      <c r="S610" s="720"/>
      <c r="T610" s="720"/>
      <c r="U610" s="720"/>
      <c r="V610" s="720"/>
      <c r="W610" s="720"/>
      <c r="X610" s="720"/>
      <c r="Y610" s="720"/>
      <c r="Z610" s="720"/>
      <c r="AA610" s="720"/>
      <c r="AB610" s="720"/>
    </row>
    <row r="611" spans="1:28" ht="12.75" customHeight="1">
      <c r="A611" s="902"/>
      <c r="B611" s="903"/>
      <c r="C611" s="720"/>
      <c r="D611" s="720"/>
      <c r="E611" s="720"/>
      <c r="F611" s="720"/>
      <c r="G611" s="906"/>
      <c r="H611" s="720"/>
      <c r="I611" s="720"/>
      <c r="J611" s="720"/>
      <c r="K611" s="907"/>
      <c r="L611" s="720"/>
      <c r="M611" s="720"/>
      <c r="N611" s="720"/>
      <c r="O611" s="720"/>
      <c r="P611" s="720"/>
      <c r="Q611" s="720"/>
      <c r="R611" s="720"/>
      <c r="S611" s="720"/>
      <c r="T611" s="720"/>
      <c r="U611" s="720"/>
      <c r="V611" s="720"/>
      <c r="W611" s="720"/>
      <c r="X611" s="720"/>
      <c r="Y611" s="720"/>
      <c r="Z611" s="720"/>
      <c r="AA611" s="720"/>
      <c r="AB611" s="720"/>
    </row>
    <row r="612" spans="1:28" ht="12.75" customHeight="1">
      <c r="A612" s="902"/>
      <c r="B612" s="903"/>
      <c r="C612" s="720"/>
      <c r="D612" s="720"/>
      <c r="E612" s="720"/>
      <c r="F612" s="720"/>
      <c r="G612" s="906"/>
      <c r="H612" s="720"/>
      <c r="I612" s="720"/>
      <c r="J612" s="720"/>
      <c r="K612" s="907"/>
      <c r="L612" s="720"/>
      <c r="M612" s="720"/>
      <c r="N612" s="720"/>
      <c r="O612" s="720"/>
      <c r="P612" s="720"/>
      <c r="Q612" s="720"/>
      <c r="R612" s="720"/>
      <c r="S612" s="720"/>
      <c r="T612" s="720"/>
      <c r="U612" s="720"/>
      <c r="V612" s="720"/>
      <c r="W612" s="720"/>
      <c r="X612" s="720"/>
      <c r="Y612" s="720"/>
      <c r="Z612" s="720"/>
      <c r="AA612" s="720"/>
      <c r="AB612" s="720"/>
    </row>
    <row r="613" spans="1:28" ht="12.75" customHeight="1">
      <c r="A613" s="902"/>
      <c r="B613" s="903"/>
      <c r="C613" s="720"/>
      <c r="D613" s="720"/>
      <c r="E613" s="720"/>
      <c r="F613" s="720"/>
      <c r="G613" s="906"/>
      <c r="H613" s="720"/>
      <c r="I613" s="720"/>
      <c r="J613" s="720"/>
      <c r="K613" s="907"/>
      <c r="L613" s="720"/>
      <c r="M613" s="720"/>
      <c r="N613" s="720"/>
      <c r="O613" s="720"/>
      <c r="P613" s="720"/>
      <c r="Q613" s="720"/>
      <c r="R613" s="720"/>
      <c r="S613" s="720"/>
      <c r="T613" s="720"/>
      <c r="U613" s="720"/>
      <c r="V613" s="720"/>
      <c r="W613" s="720"/>
      <c r="X613" s="720"/>
      <c r="Y613" s="720"/>
      <c r="Z613" s="720"/>
      <c r="AA613" s="720"/>
      <c r="AB613" s="720"/>
    </row>
    <row r="614" spans="1:28" ht="12.75" customHeight="1">
      <c r="A614" s="902"/>
      <c r="B614" s="903"/>
      <c r="C614" s="720"/>
      <c r="D614" s="720"/>
      <c r="E614" s="720"/>
      <c r="F614" s="720"/>
      <c r="G614" s="906"/>
      <c r="H614" s="720"/>
      <c r="I614" s="720"/>
      <c r="J614" s="720"/>
      <c r="K614" s="907"/>
      <c r="L614" s="720"/>
      <c r="M614" s="720"/>
      <c r="N614" s="720"/>
      <c r="O614" s="720"/>
      <c r="P614" s="720"/>
      <c r="Q614" s="720"/>
      <c r="R614" s="720"/>
      <c r="S614" s="720"/>
      <c r="T614" s="720"/>
      <c r="U614" s="720"/>
      <c r="V614" s="720"/>
      <c r="W614" s="720"/>
      <c r="X614" s="720"/>
      <c r="Y614" s="720"/>
      <c r="Z614" s="720"/>
      <c r="AA614" s="720"/>
      <c r="AB614" s="720"/>
    </row>
    <row r="615" spans="1:28" ht="12.75" customHeight="1">
      <c r="A615" s="902"/>
      <c r="B615" s="903"/>
      <c r="C615" s="720"/>
      <c r="D615" s="720"/>
      <c r="E615" s="720"/>
      <c r="F615" s="720"/>
      <c r="G615" s="906"/>
      <c r="H615" s="720"/>
      <c r="I615" s="720"/>
      <c r="J615" s="720"/>
      <c r="K615" s="907"/>
      <c r="L615" s="720"/>
      <c r="M615" s="720"/>
      <c r="N615" s="720"/>
      <c r="O615" s="720"/>
      <c r="P615" s="720"/>
      <c r="Q615" s="720"/>
      <c r="R615" s="720"/>
      <c r="S615" s="720"/>
      <c r="T615" s="720"/>
      <c r="U615" s="720"/>
      <c r="V615" s="720"/>
      <c r="W615" s="720"/>
      <c r="X615" s="720"/>
      <c r="Y615" s="720"/>
      <c r="Z615" s="720"/>
      <c r="AA615" s="720"/>
      <c r="AB615" s="720"/>
    </row>
    <row r="616" spans="1:28" ht="12.75" customHeight="1">
      <c r="A616" s="902"/>
      <c r="B616" s="903"/>
      <c r="C616" s="720"/>
      <c r="D616" s="720"/>
      <c r="E616" s="720"/>
      <c r="F616" s="720"/>
      <c r="G616" s="906"/>
      <c r="H616" s="720"/>
      <c r="I616" s="720"/>
      <c r="J616" s="720"/>
      <c r="K616" s="907"/>
      <c r="L616" s="720"/>
      <c r="M616" s="720"/>
      <c r="N616" s="720"/>
      <c r="O616" s="720"/>
      <c r="P616" s="720"/>
      <c r="Q616" s="720"/>
      <c r="R616" s="720"/>
      <c r="S616" s="720"/>
      <c r="T616" s="720"/>
      <c r="U616" s="720"/>
      <c r="V616" s="720"/>
      <c r="W616" s="720"/>
      <c r="X616" s="720"/>
      <c r="Y616" s="720"/>
      <c r="Z616" s="720"/>
      <c r="AA616" s="720"/>
      <c r="AB616" s="720"/>
    </row>
    <row r="617" spans="1:28" ht="12.75" customHeight="1">
      <c r="A617" s="902"/>
      <c r="B617" s="903"/>
      <c r="C617" s="720"/>
      <c r="D617" s="720"/>
      <c r="E617" s="720"/>
      <c r="F617" s="720"/>
      <c r="G617" s="906"/>
      <c r="H617" s="720"/>
      <c r="I617" s="720"/>
      <c r="J617" s="720"/>
      <c r="K617" s="907"/>
      <c r="L617" s="720"/>
      <c r="M617" s="720"/>
      <c r="N617" s="720"/>
      <c r="O617" s="720"/>
      <c r="P617" s="720"/>
      <c r="Q617" s="720"/>
      <c r="R617" s="720"/>
      <c r="S617" s="720"/>
      <c r="T617" s="720"/>
      <c r="U617" s="720"/>
      <c r="V617" s="720"/>
      <c r="W617" s="720"/>
      <c r="X617" s="720"/>
      <c r="Y617" s="720"/>
      <c r="Z617" s="720"/>
      <c r="AA617" s="720"/>
      <c r="AB617" s="720"/>
    </row>
    <row r="618" spans="1:28" ht="12.75" customHeight="1">
      <c r="A618" s="902"/>
      <c r="B618" s="903"/>
      <c r="C618" s="720"/>
      <c r="D618" s="720"/>
      <c r="E618" s="720"/>
      <c r="F618" s="720"/>
      <c r="G618" s="906"/>
      <c r="H618" s="720"/>
      <c r="I618" s="720"/>
      <c r="J618" s="720"/>
      <c r="K618" s="907"/>
      <c r="L618" s="720"/>
      <c r="M618" s="720"/>
      <c r="N618" s="720"/>
      <c r="O618" s="720"/>
      <c r="P618" s="720"/>
      <c r="Q618" s="720"/>
      <c r="R618" s="720"/>
      <c r="S618" s="720"/>
      <c r="T618" s="720"/>
      <c r="U618" s="720"/>
      <c r="V618" s="720"/>
      <c r="W618" s="720"/>
      <c r="X618" s="720"/>
      <c r="Y618" s="720"/>
      <c r="Z618" s="720"/>
      <c r="AA618" s="720"/>
      <c r="AB618" s="720"/>
    </row>
    <row r="619" spans="1:28" ht="12.75" customHeight="1">
      <c r="A619" s="902"/>
      <c r="B619" s="903"/>
      <c r="C619" s="720"/>
      <c r="D619" s="720"/>
      <c r="E619" s="720"/>
      <c r="F619" s="720"/>
      <c r="G619" s="906"/>
      <c r="H619" s="720"/>
      <c r="I619" s="720"/>
      <c r="J619" s="720"/>
      <c r="K619" s="907"/>
      <c r="L619" s="720"/>
      <c r="M619" s="720"/>
      <c r="N619" s="720"/>
      <c r="O619" s="720"/>
      <c r="P619" s="720"/>
      <c r="Q619" s="720"/>
      <c r="R619" s="720"/>
      <c r="S619" s="720"/>
      <c r="T619" s="720"/>
      <c r="U619" s="720"/>
      <c r="V619" s="720"/>
      <c r="W619" s="720"/>
      <c r="X619" s="720"/>
      <c r="Y619" s="720"/>
      <c r="Z619" s="720"/>
      <c r="AA619" s="720"/>
      <c r="AB619" s="720"/>
    </row>
    <row r="620" spans="1:28" ht="12.75" customHeight="1">
      <c r="A620" s="902"/>
      <c r="B620" s="903"/>
      <c r="C620" s="720"/>
      <c r="D620" s="720"/>
      <c r="E620" s="720"/>
      <c r="F620" s="720"/>
      <c r="G620" s="906"/>
      <c r="H620" s="720"/>
      <c r="I620" s="720"/>
      <c r="J620" s="720"/>
      <c r="K620" s="907"/>
      <c r="L620" s="720"/>
      <c r="M620" s="720"/>
      <c r="N620" s="720"/>
      <c r="O620" s="720"/>
      <c r="P620" s="720"/>
      <c r="Q620" s="720"/>
      <c r="R620" s="720"/>
      <c r="S620" s="720"/>
      <c r="T620" s="720"/>
      <c r="U620" s="720"/>
      <c r="V620" s="720"/>
      <c r="W620" s="720"/>
      <c r="X620" s="720"/>
      <c r="Y620" s="720"/>
      <c r="Z620" s="720"/>
      <c r="AA620" s="720"/>
      <c r="AB620" s="720"/>
    </row>
    <row r="621" spans="1:28" ht="12.75" customHeight="1">
      <c r="A621" s="902"/>
      <c r="B621" s="903"/>
      <c r="C621" s="720"/>
      <c r="D621" s="720"/>
      <c r="E621" s="720"/>
      <c r="F621" s="720"/>
      <c r="G621" s="906"/>
      <c r="H621" s="720"/>
      <c r="I621" s="720"/>
      <c r="J621" s="720"/>
      <c r="K621" s="907"/>
      <c r="L621" s="720"/>
      <c r="M621" s="720"/>
      <c r="N621" s="720"/>
      <c r="O621" s="720"/>
      <c r="P621" s="720"/>
      <c r="Q621" s="720"/>
      <c r="R621" s="720"/>
      <c r="S621" s="720"/>
      <c r="T621" s="720"/>
      <c r="U621" s="720"/>
      <c r="V621" s="720"/>
      <c r="W621" s="720"/>
      <c r="X621" s="720"/>
      <c r="Y621" s="720"/>
      <c r="Z621" s="720"/>
      <c r="AA621" s="720"/>
      <c r="AB621" s="720"/>
    </row>
    <row r="622" spans="1:28" ht="12.75" customHeight="1">
      <c r="A622" s="902"/>
      <c r="B622" s="903"/>
      <c r="C622" s="720"/>
      <c r="D622" s="720"/>
      <c r="E622" s="720"/>
      <c r="F622" s="720"/>
      <c r="G622" s="906"/>
      <c r="H622" s="720"/>
      <c r="I622" s="720"/>
      <c r="J622" s="720"/>
      <c r="K622" s="907"/>
      <c r="L622" s="720"/>
      <c r="M622" s="720"/>
      <c r="N622" s="720"/>
      <c r="O622" s="720"/>
      <c r="P622" s="720"/>
      <c r="Q622" s="720"/>
      <c r="R622" s="720"/>
      <c r="S622" s="720"/>
      <c r="T622" s="720"/>
      <c r="U622" s="720"/>
      <c r="V622" s="720"/>
      <c r="W622" s="720"/>
      <c r="X622" s="720"/>
      <c r="Y622" s="720"/>
      <c r="Z622" s="720"/>
      <c r="AA622" s="720"/>
      <c r="AB622" s="720"/>
    </row>
    <row r="623" spans="1:28" ht="12.75" customHeight="1">
      <c r="A623" s="902"/>
      <c r="B623" s="903"/>
      <c r="C623" s="720"/>
      <c r="D623" s="720"/>
      <c r="E623" s="720"/>
      <c r="F623" s="720"/>
      <c r="G623" s="906"/>
      <c r="H623" s="720"/>
      <c r="I623" s="720"/>
      <c r="J623" s="720"/>
      <c r="K623" s="907"/>
      <c r="L623" s="720"/>
      <c r="M623" s="720"/>
      <c r="N623" s="720"/>
      <c r="O623" s="720"/>
      <c r="P623" s="720"/>
      <c r="Q623" s="720"/>
      <c r="R623" s="720"/>
      <c r="S623" s="720"/>
      <c r="T623" s="720"/>
      <c r="U623" s="720"/>
      <c r="V623" s="720"/>
      <c r="W623" s="720"/>
      <c r="X623" s="720"/>
      <c r="Y623" s="720"/>
      <c r="Z623" s="720"/>
      <c r="AA623" s="720"/>
      <c r="AB623" s="720"/>
    </row>
    <row r="624" spans="1:28" ht="12.75" customHeight="1">
      <c r="A624" s="902"/>
      <c r="B624" s="903"/>
      <c r="C624" s="720"/>
      <c r="D624" s="720"/>
      <c r="E624" s="720"/>
      <c r="F624" s="720"/>
      <c r="G624" s="906"/>
      <c r="H624" s="720"/>
      <c r="I624" s="720"/>
      <c r="J624" s="720"/>
      <c r="K624" s="907"/>
      <c r="L624" s="720"/>
      <c r="M624" s="720"/>
      <c r="N624" s="720"/>
      <c r="O624" s="720"/>
      <c r="P624" s="720"/>
      <c r="Q624" s="720"/>
      <c r="R624" s="720"/>
      <c r="S624" s="720"/>
      <c r="T624" s="720"/>
      <c r="U624" s="720"/>
      <c r="V624" s="720"/>
      <c r="W624" s="720"/>
      <c r="X624" s="720"/>
      <c r="Y624" s="720"/>
      <c r="Z624" s="720"/>
      <c r="AA624" s="720"/>
      <c r="AB624" s="720"/>
    </row>
    <row r="625" spans="1:28" ht="12.75" customHeight="1">
      <c r="A625" s="902"/>
      <c r="B625" s="903"/>
      <c r="C625" s="720"/>
      <c r="D625" s="720"/>
      <c r="E625" s="720"/>
      <c r="F625" s="720"/>
      <c r="G625" s="906"/>
      <c r="H625" s="720"/>
      <c r="I625" s="720"/>
      <c r="J625" s="720"/>
      <c r="K625" s="907"/>
      <c r="L625" s="720"/>
      <c r="M625" s="720"/>
      <c r="N625" s="720"/>
      <c r="O625" s="720"/>
      <c r="P625" s="720"/>
      <c r="Q625" s="720"/>
      <c r="R625" s="720"/>
      <c r="S625" s="720"/>
      <c r="T625" s="720"/>
      <c r="U625" s="720"/>
      <c r="V625" s="720"/>
      <c r="W625" s="720"/>
      <c r="X625" s="720"/>
      <c r="Y625" s="720"/>
      <c r="Z625" s="720"/>
      <c r="AA625" s="720"/>
      <c r="AB625" s="720"/>
    </row>
    <row r="626" spans="1:28" ht="12.75" customHeight="1">
      <c r="A626" s="902"/>
      <c r="B626" s="903"/>
      <c r="C626" s="720"/>
      <c r="D626" s="720"/>
      <c r="E626" s="720"/>
      <c r="F626" s="720"/>
      <c r="G626" s="906"/>
      <c r="H626" s="720"/>
      <c r="I626" s="720"/>
      <c r="J626" s="720"/>
      <c r="K626" s="907"/>
      <c r="L626" s="720"/>
      <c r="M626" s="720"/>
      <c r="N626" s="720"/>
      <c r="O626" s="720"/>
      <c r="P626" s="720"/>
      <c r="Q626" s="720"/>
      <c r="R626" s="720"/>
      <c r="S626" s="720"/>
      <c r="T626" s="720"/>
      <c r="U626" s="720"/>
      <c r="V626" s="720"/>
      <c r="W626" s="720"/>
      <c r="X626" s="720"/>
      <c r="Y626" s="720"/>
      <c r="Z626" s="720"/>
      <c r="AA626" s="720"/>
      <c r="AB626" s="720"/>
    </row>
    <row r="627" spans="1:28" ht="12.75" customHeight="1">
      <c r="A627" s="902"/>
      <c r="B627" s="903"/>
      <c r="C627" s="720"/>
      <c r="D627" s="720"/>
      <c r="E627" s="720"/>
      <c r="F627" s="720"/>
      <c r="G627" s="906"/>
      <c r="H627" s="720"/>
      <c r="I627" s="720"/>
      <c r="J627" s="720"/>
      <c r="K627" s="907"/>
      <c r="L627" s="720"/>
      <c r="M627" s="720"/>
      <c r="N627" s="720"/>
      <c r="O627" s="720"/>
      <c r="P627" s="720"/>
      <c r="Q627" s="720"/>
      <c r="R627" s="720"/>
      <c r="S627" s="720"/>
      <c r="T627" s="720"/>
      <c r="U627" s="720"/>
      <c r="V627" s="720"/>
      <c r="W627" s="720"/>
      <c r="X627" s="720"/>
      <c r="Y627" s="720"/>
      <c r="Z627" s="720"/>
      <c r="AA627" s="720"/>
      <c r="AB627" s="720"/>
    </row>
    <row r="628" spans="1:28" ht="12.75" customHeight="1">
      <c r="A628" s="902"/>
      <c r="B628" s="903"/>
      <c r="C628" s="720"/>
      <c r="D628" s="720"/>
      <c r="E628" s="720"/>
      <c r="F628" s="720"/>
      <c r="G628" s="906"/>
      <c r="H628" s="720"/>
      <c r="I628" s="720"/>
      <c r="J628" s="720"/>
      <c r="K628" s="907"/>
      <c r="L628" s="720"/>
      <c r="M628" s="720"/>
      <c r="N628" s="720"/>
      <c r="O628" s="720"/>
      <c r="P628" s="720"/>
      <c r="Q628" s="720"/>
      <c r="R628" s="720"/>
      <c r="S628" s="720"/>
      <c r="T628" s="720"/>
      <c r="U628" s="720"/>
      <c r="V628" s="720"/>
      <c r="W628" s="720"/>
      <c r="X628" s="720"/>
      <c r="Y628" s="720"/>
      <c r="Z628" s="720"/>
      <c r="AA628" s="720"/>
      <c r="AB628" s="720"/>
    </row>
    <row r="629" spans="1:28" ht="12.75" customHeight="1">
      <c r="A629" s="902"/>
      <c r="B629" s="903"/>
      <c r="C629" s="720"/>
      <c r="D629" s="720"/>
      <c r="E629" s="720"/>
      <c r="F629" s="720"/>
      <c r="G629" s="906"/>
      <c r="H629" s="720"/>
      <c r="I629" s="720"/>
      <c r="J629" s="720"/>
      <c r="K629" s="907"/>
      <c r="L629" s="720"/>
      <c r="M629" s="720"/>
      <c r="N629" s="720"/>
      <c r="O629" s="720"/>
      <c r="P629" s="720"/>
      <c r="Q629" s="720"/>
      <c r="R629" s="720"/>
      <c r="S629" s="720"/>
      <c r="T629" s="720"/>
      <c r="U629" s="720"/>
      <c r="V629" s="720"/>
      <c r="W629" s="720"/>
      <c r="X629" s="720"/>
      <c r="Y629" s="720"/>
      <c r="Z629" s="720"/>
      <c r="AA629" s="720"/>
      <c r="AB629" s="720"/>
    </row>
    <row r="630" spans="1:28" ht="12.75" customHeight="1">
      <c r="A630" s="902"/>
      <c r="B630" s="903"/>
      <c r="C630" s="720"/>
      <c r="D630" s="720"/>
      <c r="E630" s="720"/>
      <c r="F630" s="720"/>
      <c r="G630" s="906"/>
      <c r="H630" s="720"/>
      <c r="I630" s="720"/>
      <c r="J630" s="720"/>
      <c r="K630" s="907"/>
      <c r="L630" s="720"/>
      <c r="M630" s="720"/>
      <c r="N630" s="720"/>
      <c r="O630" s="720"/>
      <c r="P630" s="720"/>
      <c r="Q630" s="720"/>
      <c r="R630" s="720"/>
      <c r="S630" s="720"/>
      <c r="T630" s="720"/>
      <c r="U630" s="720"/>
      <c r="V630" s="720"/>
      <c r="W630" s="720"/>
      <c r="X630" s="720"/>
      <c r="Y630" s="720"/>
      <c r="Z630" s="720"/>
      <c r="AA630" s="720"/>
      <c r="AB630" s="720"/>
    </row>
    <row r="631" spans="1:28" ht="12.75" customHeight="1">
      <c r="A631" s="902"/>
      <c r="B631" s="903"/>
      <c r="C631" s="720"/>
      <c r="D631" s="720"/>
      <c r="E631" s="720"/>
      <c r="F631" s="720"/>
      <c r="G631" s="906"/>
      <c r="H631" s="720"/>
      <c r="I631" s="720"/>
      <c r="J631" s="720"/>
      <c r="K631" s="907"/>
      <c r="L631" s="720"/>
      <c r="M631" s="720"/>
      <c r="N631" s="720"/>
      <c r="O631" s="720"/>
      <c r="P631" s="720"/>
      <c r="Q631" s="720"/>
      <c r="R631" s="720"/>
      <c r="S631" s="720"/>
      <c r="T631" s="720"/>
      <c r="U631" s="720"/>
      <c r="V631" s="720"/>
      <c r="W631" s="720"/>
      <c r="X631" s="720"/>
      <c r="Y631" s="720"/>
      <c r="Z631" s="720"/>
      <c r="AA631" s="720"/>
      <c r="AB631" s="720"/>
    </row>
    <row r="632" spans="1:28" ht="12.75" customHeight="1">
      <c r="A632" s="902"/>
      <c r="B632" s="903"/>
      <c r="C632" s="720"/>
      <c r="D632" s="720"/>
      <c r="E632" s="720"/>
      <c r="F632" s="720"/>
      <c r="G632" s="906"/>
      <c r="H632" s="720"/>
      <c r="I632" s="720"/>
      <c r="J632" s="720"/>
      <c r="K632" s="907"/>
      <c r="L632" s="720"/>
      <c r="M632" s="720"/>
      <c r="N632" s="720"/>
      <c r="O632" s="720"/>
      <c r="P632" s="720"/>
      <c r="Q632" s="720"/>
      <c r="R632" s="720"/>
      <c r="S632" s="720"/>
      <c r="T632" s="720"/>
      <c r="U632" s="720"/>
      <c r="V632" s="720"/>
      <c r="W632" s="720"/>
      <c r="X632" s="720"/>
      <c r="Y632" s="720"/>
      <c r="Z632" s="720"/>
      <c r="AA632" s="720"/>
      <c r="AB632" s="720"/>
    </row>
    <row r="633" spans="1:28" ht="12.75" customHeight="1">
      <c r="A633" s="902"/>
      <c r="B633" s="903"/>
      <c r="C633" s="720"/>
      <c r="D633" s="720"/>
      <c r="E633" s="720"/>
      <c r="F633" s="720"/>
      <c r="G633" s="906"/>
      <c r="H633" s="720"/>
      <c r="I633" s="720"/>
      <c r="J633" s="720"/>
      <c r="K633" s="907"/>
      <c r="L633" s="720"/>
      <c r="M633" s="720"/>
      <c r="N633" s="720"/>
      <c r="O633" s="720"/>
      <c r="P633" s="720"/>
      <c r="Q633" s="720"/>
      <c r="R633" s="720"/>
      <c r="S633" s="720"/>
      <c r="T633" s="720"/>
      <c r="U633" s="720"/>
      <c r="V633" s="720"/>
      <c r="W633" s="720"/>
      <c r="X633" s="720"/>
      <c r="Y633" s="720"/>
      <c r="Z633" s="720"/>
      <c r="AA633" s="720"/>
      <c r="AB633" s="720"/>
    </row>
    <row r="634" spans="1:28" ht="12.75" customHeight="1">
      <c r="A634" s="902"/>
      <c r="B634" s="903"/>
      <c r="C634" s="720"/>
      <c r="D634" s="720"/>
      <c r="E634" s="720"/>
      <c r="F634" s="720"/>
      <c r="G634" s="906"/>
      <c r="H634" s="720"/>
      <c r="I634" s="720"/>
      <c r="J634" s="720"/>
      <c r="K634" s="907"/>
      <c r="L634" s="720"/>
      <c r="M634" s="720"/>
      <c r="N634" s="720"/>
      <c r="O634" s="720"/>
      <c r="P634" s="720"/>
      <c r="Q634" s="720"/>
      <c r="R634" s="720"/>
      <c r="S634" s="720"/>
      <c r="T634" s="720"/>
      <c r="U634" s="720"/>
      <c r="V634" s="720"/>
      <c r="W634" s="720"/>
      <c r="X634" s="720"/>
      <c r="Y634" s="720"/>
      <c r="Z634" s="720"/>
      <c r="AA634" s="720"/>
      <c r="AB634" s="720"/>
    </row>
    <row r="635" spans="1:28" ht="12.75" customHeight="1">
      <c r="A635" s="902"/>
      <c r="B635" s="903"/>
      <c r="C635" s="720"/>
      <c r="D635" s="720"/>
      <c r="E635" s="720"/>
      <c r="F635" s="720"/>
      <c r="G635" s="906"/>
      <c r="H635" s="720"/>
      <c r="I635" s="720"/>
      <c r="J635" s="720"/>
      <c r="K635" s="907"/>
      <c r="L635" s="720"/>
      <c r="M635" s="720"/>
      <c r="N635" s="720"/>
      <c r="O635" s="720"/>
      <c r="P635" s="720"/>
      <c r="Q635" s="720"/>
      <c r="R635" s="720"/>
      <c r="S635" s="720"/>
      <c r="T635" s="720"/>
      <c r="U635" s="720"/>
      <c r="V635" s="720"/>
      <c r="W635" s="720"/>
      <c r="X635" s="720"/>
      <c r="Y635" s="720"/>
      <c r="Z635" s="720"/>
      <c r="AA635" s="720"/>
      <c r="AB635" s="720"/>
    </row>
    <row r="636" spans="1:28" ht="12.75" customHeight="1">
      <c r="A636" s="902"/>
      <c r="B636" s="903"/>
      <c r="C636" s="720"/>
      <c r="D636" s="720"/>
      <c r="E636" s="720"/>
      <c r="F636" s="720"/>
      <c r="G636" s="906"/>
      <c r="H636" s="720"/>
      <c r="I636" s="720"/>
      <c r="J636" s="720"/>
      <c r="K636" s="907"/>
      <c r="L636" s="720"/>
      <c r="M636" s="720"/>
      <c r="N636" s="720"/>
      <c r="O636" s="720"/>
      <c r="P636" s="720"/>
      <c r="Q636" s="720"/>
      <c r="R636" s="720"/>
      <c r="S636" s="720"/>
      <c r="T636" s="720"/>
      <c r="U636" s="720"/>
      <c r="V636" s="720"/>
      <c r="W636" s="720"/>
      <c r="X636" s="720"/>
      <c r="Y636" s="720"/>
      <c r="Z636" s="720"/>
      <c r="AA636" s="720"/>
      <c r="AB636" s="720"/>
    </row>
    <row r="637" spans="1:28" ht="12.75" customHeight="1">
      <c r="A637" s="902"/>
      <c r="B637" s="903"/>
      <c r="C637" s="720"/>
      <c r="D637" s="720"/>
      <c r="E637" s="720"/>
      <c r="F637" s="720"/>
      <c r="G637" s="906"/>
      <c r="H637" s="720"/>
      <c r="I637" s="720"/>
      <c r="J637" s="720"/>
      <c r="K637" s="907"/>
      <c r="L637" s="720"/>
      <c r="M637" s="720"/>
      <c r="N637" s="720"/>
      <c r="O637" s="720"/>
      <c r="P637" s="720"/>
      <c r="Q637" s="720"/>
      <c r="R637" s="720"/>
      <c r="S637" s="720"/>
      <c r="T637" s="720"/>
      <c r="U637" s="720"/>
      <c r="V637" s="720"/>
      <c r="W637" s="720"/>
      <c r="X637" s="720"/>
      <c r="Y637" s="720"/>
      <c r="Z637" s="720"/>
      <c r="AA637" s="720"/>
      <c r="AB637" s="720"/>
    </row>
    <row r="638" spans="1:28" ht="12.75" customHeight="1">
      <c r="A638" s="902"/>
      <c r="B638" s="903"/>
      <c r="C638" s="720"/>
      <c r="D638" s="720"/>
      <c r="E638" s="720"/>
      <c r="F638" s="720"/>
      <c r="G638" s="906"/>
      <c r="H638" s="720"/>
      <c r="I638" s="720"/>
      <c r="J638" s="720"/>
      <c r="K638" s="907"/>
      <c r="L638" s="720"/>
      <c r="M638" s="720"/>
      <c r="N638" s="720"/>
      <c r="O638" s="720"/>
      <c r="P638" s="720"/>
      <c r="Q638" s="720"/>
      <c r="R638" s="720"/>
      <c r="S638" s="720"/>
      <c r="T638" s="720"/>
      <c r="U638" s="720"/>
      <c r="V638" s="720"/>
      <c r="W638" s="720"/>
      <c r="X638" s="720"/>
      <c r="Y638" s="720"/>
      <c r="Z638" s="720"/>
      <c r="AA638" s="720"/>
      <c r="AB638" s="720"/>
    </row>
    <row r="639" spans="1:28" ht="12.75" customHeight="1">
      <c r="A639" s="902"/>
      <c r="B639" s="903"/>
      <c r="C639" s="720"/>
      <c r="D639" s="720"/>
      <c r="E639" s="720"/>
      <c r="F639" s="720"/>
      <c r="G639" s="906"/>
      <c r="H639" s="720"/>
      <c r="I639" s="720"/>
      <c r="J639" s="720"/>
      <c r="K639" s="907"/>
      <c r="L639" s="720"/>
      <c r="M639" s="720"/>
      <c r="N639" s="720"/>
      <c r="O639" s="720"/>
      <c r="P639" s="720"/>
      <c r="Q639" s="720"/>
      <c r="R639" s="720"/>
      <c r="S639" s="720"/>
      <c r="T639" s="720"/>
      <c r="U639" s="720"/>
      <c r="V639" s="720"/>
      <c r="W639" s="720"/>
      <c r="X639" s="720"/>
      <c r="Y639" s="720"/>
      <c r="Z639" s="720"/>
      <c r="AA639" s="720"/>
      <c r="AB639" s="720"/>
    </row>
    <row r="640" spans="1:28" ht="12.75" customHeight="1">
      <c r="A640" s="902"/>
      <c r="B640" s="903"/>
      <c r="C640" s="720"/>
      <c r="D640" s="720"/>
      <c r="E640" s="720"/>
      <c r="F640" s="720"/>
      <c r="G640" s="906"/>
      <c r="H640" s="720"/>
      <c r="I640" s="720"/>
      <c r="J640" s="720"/>
      <c r="K640" s="907"/>
      <c r="L640" s="720"/>
      <c r="M640" s="720"/>
      <c r="N640" s="720"/>
      <c r="O640" s="720"/>
      <c r="P640" s="720"/>
      <c r="Q640" s="720"/>
      <c r="R640" s="720"/>
      <c r="S640" s="720"/>
      <c r="T640" s="720"/>
      <c r="U640" s="720"/>
      <c r="V640" s="720"/>
      <c r="W640" s="720"/>
      <c r="X640" s="720"/>
      <c r="Y640" s="720"/>
      <c r="Z640" s="720"/>
      <c r="AA640" s="720"/>
      <c r="AB640" s="720"/>
    </row>
    <row r="641" spans="1:28" ht="12.75" customHeight="1">
      <c r="A641" s="902"/>
      <c r="B641" s="903"/>
      <c r="C641" s="720"/>
      <c r="D641" s="720"/>
      <c r="E641" s="720"/>
      <c r="F641" s="720"/>
      <c r="G641" s="906"/>
      <c r="H641" s="720"/>
      <c r="I641" s="720"/>
      <c r="J641" s="720"/>
      <c r="K641" s="907"/>
      <c r="L641" s="720"/>
      <c r="M641" s="720"/>
      <c r="N641" s="720"/>
      <c r="O641" s="720"/>
      <c r="P641" s="720"/>
      <c r="Q641" s="720"/>
      <c r="R641" s="720"/>
      <c r="S641" s="720"/>
      <c r="T641" s="720"/>
      <c r="U641" s="720"/>
      <c r="V641" s="720"/>
      <c r="W641" s="720"/>
      <c r="X641" s="720"/>
      <c r="Y641" s="720"/>
      <c r="Z641" s="720"/>
      <c r="AA641" s="720"/>
      <c r="AB641" s="720"/>
    </row>
    <row r="642" spans="1:28" ht="12.75" customHeight="1">
      <c r="A642" s="902"/>
      <c r="B642" s="903"/>
      <c r="C642" s="720"/>
      <c r="D642" s="720"/>
      <c r="E642" s="720"/>
      <c r="F642" s="720"/>
      <c r="G642" s="906"/>
      <c r="H642" s="720"/>
      <c r="I642" s="720"/>
      <c r="J642" s="720"/>
      <c r="K642" s="907"/>
      <c r="L642" s="720"/>
      <c r="M642" s="720"/>
      <c r="N642" s="720"/>
      <c r="O642" s="720"/>
      <c r="P642" s="720"/>
      <c r="Q642" s="720"/>
      <c r="R642" s="720"/>
      <c r="S642" s="720"/>
      <c r="T642" s="720"/>
      <c r="U642" s="720"/>
      <c r="V642" s="720"/>
      <c r="W642" s="720"/>
      <c r="X642" s="720"/>
      <c r="Y642" s="720"/>
      <c r="Z642" s="720"/>
      <c r="AA642" s="720"/>
      <c r="AB642" s="720"/>
    </row>
    <row r="643" spans="1:28" ht="12.75" customHeight="1">
      <c r="A643" s="902"/>
      <c r="B643" s="903"/>
      <c r="C643" s="720"/>
      <c r="D643" s="720"/>
      <c r="E643" s="720"/>
      <c r="F643" s="720"/>
      <c r="G643" s="906"/>
      <c r="H643" s="720"/>
      <c r="I643" s="720"/>
      <c r="J643" s="720"/>
      <c r="K643" s="907"/>
      <c r="L643" s="720"/>
      <c r="M643" s="720"/>
      <c r="N643" s="720"/>
      <c r="O643" s="720"/>
      <c r="P643" s="720"/>
      <c r="Q643" s="720"/>
      <c r="R643" s="720"/>
      <c r="S643" s="720"/>
      <c r="T643" s="720"/>
      <c r="U643" s="720"/>
      <c r="V643" s="720"/>
      <c r="W643" s="720"/>
      <c r="X643" s="720"/>
      <c r="Y643" s="720"/>
      <c r="Z643" s="720"/>
      <c r="AA643" s="720"/>
      <c r="AB643" s="720"/>
    </row>
    <row r="644" spans="1:28" ht="12.75" customHeight="1">
      <c r="A644" s="902"/>
      <c r="B644" s="903"/>
      <c r="C644" s="720"/>
      <c r="D644" s="720"/>
      <c r="E644" s="720"/>
      <c r="F644" s="720"/>
      <c r="G644" s="906"/>
      <c r="H644" s="720"/>
      <c r="I644" s="720"/>
      <c r="J644" s="720"/>
      <c r="K644" s="907"/>
      <c r="L644" s="720"/>
      <c r="M644" s="720"/>
      <c r="N644" s="720"/>
      <c r="O644" s="720"/>
      <c r="P644" s="720"/>
      <c r="Q644" s="720"/>
      <c r="R644" s="720"/>
      <c r="S644" s="720"/>
      <c r="T644" s="720"/>
      <c r="U644" s="720"/>
      <c r="V644" s="720"/>
      <c r="W644" s="720"/>
      <c r="X644" s="720"/>
      <c r="Y644" s="720"/>
      <c r="Z644" s="720"/>
      <c r="AA644" s="720"/>
      <c r="AB644" s="720"/>
    </row>
    <row r="645" spans="1:28" ht="12.75" customHeight="1">
      <c r="A645" s="902"/>
      <c r="B645" s="903"/>
      <c r="C645" s="720"/>
      <c r="D645" s="720"/>
      <c r="E645" s="720"/>
      <c r="F645" s="720"/>
      <c r="G645" s="906"/>
      <c r="H645" s="720"/>
      <c r="I645" s="720"/>
      <c r="J645" s="720"/>
      <c r="K645" s="907"/>
      <c r="L645" s="720"/>
      <c r="M645" s="720"/>
      <c r="N645" s="720"/>
      <c r="O645" s="720"/>
      <c r="P645" s="720"/>
      <c r="Q645" s="720"/>
      <c r="R645" s="720"/>
      <c r="S645" s="720"/>
      <c r="T645" s="720"/>
      <c r="U645" s="720"/>
      <c r="V645" s="720"/>
      <c r="W645" s="720"/>
      <c r="X645" s="720"/>
      <c r="Y645" s="720"/>
      <c r="Z645" s="720"/>
      <c r="AA645" s="720"/>
      <c r="AB645" s="720"/>
    </row>
    <row r="646" spans="1:28" ht="12.75" customHeight="1">
      <c r="A646" s="902"/>
      <c r="B646" s="903"/>
      <c r="C646" s="720"/>
      <c r="D646" s="720"/>
      <c r="E646" s="720"/>
      <c r="F646" s="720"/>
      <c r="G646" s="906"/>
      <c r="H646" s="720"/>
      <c r="I646" s="720"/>
      <c r="J646" s="720"/>
      <c r="K646" s="907"/>
      <c r="L646" s="720"/>
      <c r="M646" s="720"/>
      <c r="N646" s="720"/>
      <c r="O646" s="720"/>
      <c r="P646" s="720"/>
      <c r="Q646" s="720"/>
      <c r="R646" s="720"/>
      <c r="S646" s="720"/>
      <c r="T646" s="720"/>
      <c r="U646" s="720"/>
      <c r="V646" s="720"/>
      <c r="W646" s="720"/>
      <c r="X646" s="720"/>
      <c r="Y646" s="720"/>
      <c r="Z646" s="720"/>
      <c r="AA646" s="720"/>
      <c r="AB646" s="720"/>
    </row>
    <row r="647" spans="1:28" ht="12.75" customHeight="1">
      <c r="A647" s="902"/>
      <c r="B647" s="903"/>
      <c r="C647" s="720"/>
      <c r="D647" s="720"/>
      <c r="E647" s="720"/>
      <c r="F647" s="720"/>
      <c r="G647" s="906"/>
      <c r="H647" s="720"/>
      <c r="I647" s="720"/>
      <c r="J647" s="720"/>
      <c r="K647" s="907"/>
      <c r="L647" s="720"/>
      <c r="M647" s="720"/>
      <c r="N647" s="720"/>
      <c r="O647" s="720"/>
      <c r="P647" s="720"/>
      <c r="Q647" s="720"/>
      <c r="R647" s="720"/>
      <c r="S647" s="720"/>
      <c r="T647" s="720"/>
      <c r="U647" s="720"/>
      <c r="V647" s="720"/>
      <c r="W647" s="720"/>
      <c r="X647" s="720"/>
      <c r="Y647" s="720"/>
      <c r="Z647" s="720"/>
      <c r="AA647" s="720"/>
      <c r="AB647" s="720"/>
    </row>
    <row r="648" spans="1:28" ht="12.75" customHeight="1">
      <c r="A648" s="902"/>
      <c r="B648" s="903"/>
      <c r="C648" s="720"/>
      <c r="D648" s="720"/>
      <c r="E648" s="720"/>
      <c r="F648" s="720"/>
      <c r="G648" s="906"/>
      <c r="H648" s="720"/>
      <c r="I648" s="720"/>
      <c r="J648" s="720"/>
      <c r="K648" s="907"/>
      <c r="L648" s="720"/>
      <c r="M648" s="720"/>
      <c r="N648" s="720"/>
      <c r="O648" s="720"/>
      <c r="P648" s="720"/>
      <c r="Q648" s="720"/>
      <c r="R648" s="720"/>
      <c r="S648" s="720"/>
      <c r="T648" s="720"/>
      <c r="U648" s="720"/>
      <c r="V648" s="720"/>
      <c r="W648" s="720"/>
      <c r="X648" s="720"/>
      <c r="Y648" s="720"/>
      <c r="Z648" s="720"/>
      <c r="AA648" s="720"/>
      <c r="AB648" s="720"/>
    </row>
    <row r="649" spans="1:28" ht="12.75" customHeight="1">
      <c r="A649" s="902"/>
      <c r="B649" s="903"/>
      <c r="C649" s="720"/>
      <c r="D649" s="720"/>
      <c r="E649" s="720"/>
      <c r="F649" s="720"/>
      <c r="G649" s="906"/>
      <c r="H649" s="720"/>
      <c r="I649" s="720"/>
      <c r="J649" s="720"/>
      <c r="K649" s="907"/>
      <c r="L649" s="720"/>
      <c r="M649" s="720"/>
      <c r="N649" s="720"/>
      <c r="O649" s="720"/>
      <c r="P649" s="720"/>
      <c r="Q649" s="720"/>
      <c r="R649" s="720"/>
      <c r="S649" s="720"/>
      <c r="T649" s="720"/>
      <c r="U649" s="720"/>
      <c r="V649" s="720"/>
      <c r="W649" s="720"/>
      <c r="X649" s="720"/>
      <c r="Y649" s="720"/>
      <c r="Z649" s="720"/>
      <c r="AA649" s="720"/>
      <c r="AB649" s="720"/>
    </row>
    <row r="650" spans="1:28" ht="12.75" customHeight="1">
      <c r="A650" s="902"/>
      <c r="B650" s="903"/>
      <c r="C650" s="720"/>
      <c r="D650" s="720"/>
      <c r="E650" s="720"/>
      <c r="F650" s="720"/>
      <c r="G650" s="906"/>
      <c r="H650" s="720"/>
      <c r="I650" s="720"/>
      <c r="J650" s="720"/>
      <c r="K650" s="907"/>
      <c r="L650" s="720"/>
      <c r="M650" s="720"/>
      <c r="N650" s="720"/>
      <c r="O650" s="720"/>
      <c r="P650" s="720"/>
      <c r="Q650" s="720"/>
      <c r="R650" s="720"/>
      <c r="S650" s="720"/>
      <c r="T650" s="720"/>
      <c r="U650" s="720"/>
      <c r="V650" s="720"/>
      <c r="W650" s="720"/>
      <c r="X650" s="720"/>
      <c r="Y650" s="720"/>
      <c r="Z650" s="720"/>
      <c r="AA650" s="720"/>
      <c r="AB650" s="720"/>
    </row>
    <row r="651" spans="1:28" ht="12.75" customHeight="1">
      <c r="A651" s="902"/>
      <c r="B651" s="903"/>
      <c r="C651" s="720"/>
      <c r="D651" s="720"/>
      <c r="E651" s="720"/>
      <c r="F651" s="720"/>
      <c r="G651" s="906"/>
      <c r="H651" s="720"/>
      <c r="I651" s="720"/>
      <c r="J651" s="720"/>
      <c r="K651" s="907"/>
      <c r="L651" s="720"/>
      <c r="M651" s="720"/>
      <c r="N651" s="720"/>
      <c r="O651" s="720"/>
      <c r="P651" s="720"/>
      <c r="Q651" s="720"/>
      <c r="R651" s="720"/>
      <c r="S651" s="720"/>
      <c r="T651" s="720"/>
      <c r="U651" s="720"/>
      <c r="V651" s="720"/>
      <c r="W651" s="720"/>
      <c r="X651" s="720"/>
      <c r="Y651" s="720"/>
      <c r="Z651" s="720"/>
      <c r="AA651" s="720"/>
      <c r="AB651" s="720"/>
    </row>
    <row r="652" spans="1:28" ht="12.75" customHeight="1">
      <c r="A652" s="902"/>
      <c r="B652" s="903"/>
      <c r="C652" s="720"/>
      <c r="D652" s="720"/>
      <c r="E652" s="720"/>
      <c r="F652" s="720"/>
      <c r="G652" s="906"/>
      <c r="H652" s="720"/>
      <c r="I652" s="720"/>
      <c r="J652" s="720"/>
      <c r="K652" s="907"/>
      <c r="L652" s="720"/>
      <c r="M652" s="720"/>
      <c r="N652" s="720"/>
      <c r="O652" s="720"/>
      <c r="P652" s="720"/>
      <c r="Q652" s="720"/>
      <c r="R652" s="720"/>
      <c r="S652" s="720"/>
      <c r="T652" s="720"/>
      <c r="U652" s="720"/>
      <c r="V652" s="720"/>
      <c r="W652" s="720"/>
      <c r="X652" s="720"/>
      <c r="Y652" s="720"/>
      <c r="Z652" s="720"/>
      <c r="AA652" s="720"/>
      <c r="AB652" s="720"/>
    </row>
    <row r="653" spans="1:28" ht="12.75" customHeight="1">
      <c r="A653" s="902"/>
      <c r="B653" s="903"/>
      <c r="C653" s="720"/>
      <c r="D653" s="720"/>
      <c r="E653" s="720"/>
      <c r="F653" s="720"/>
      <c r="G653" s="906"/>
      <c r="H653" s="720"/>
      <c r="I653" s="720"/>
      <c r="J653" s="720"/>
      <c r="K653" s="907"/>
      <c r="L653" s="720"/>
      <c r="M653" s="720"/>
      <c r="N653" s="720"/>
      <c r="O653" s="720"/>
      <c r="P653" s="720"/>
      <c r="Q653" s="720"/>
      <c r="R653" s="720"/>
      <c r="S653" s="720"/>
      <c r="T653" s="720"/>
      <c r="U653" s="720"/>
      <c r="V653" s="720"/>
      <c r="W653" s="720"/>
      <c r="X653" s="720"/>
      <c r="Y653" s="720"/>
      <c r="Z653" s="720"/>
      <c r="AA653" s="720"/>
      <c r="AB653" s="720"/>
    </row>
    <row r="654" spans="1:28" ht="12.75" customHeight="1">
      <c r="A654" s="902"/>
      <c r="B654" s="903"/>
      <c r="C654" s="720"/>
      <c r="D654" s="720"/>
      <c r="E654" s="720"/>
      <c r="F654" s="720"/>
      <c r="G654" s="906"/>
      <c r="H654" s="720"/>
      <c r="I654" s="720"/>
      <c r="J654" s="720"/>
      <c r="K654" s="907"/>
      <c r="L654" s="720"/>
      <c r="M654" s="720"/>
      <c r="N654" s="720"/>
      <c r="O654" s="720"/>
      <c r="P654" s="720"/>
      <c r="Q654" s="720"/>
      <c r="R654" s="720"/>
      <c r="S654" s="720"/>
      <c r="T654" s="720"/>
      <c r="U654" s="720"/>
      <c r="V654" s="720"/>
      <c r="W654" s="720"/>
      <c r="X654" s="720"/>
      <c r="Y654" s="720"/>
      <c r="Z654" s="720"/>
      <c r="AA654" s="720"/>
      <c r="AB654" s="720"/>
    </row>
    <row r="655" spans="1:28" ht="12.75" customHeight="1">
      <c r="A655" s="902"/>
      <c r="B655" s="903"/>
      <c r="C655" s="720"/>
      <c r="D655" s="720"/>
      <c r="E655" s="720"/>
      <c r="F655" s="720"/>
      <c r="G655" s="906"/>
      <c r="H655" s="720"/>
      <c r="I655" s="720"/>
      <c r="J655" s="720"/>
      <c r="K655" s="907"/>
      <c r="L655" s="720"/>
      <c r="M655" s="720"/>
      <c r="N655" s="720"/>
      <c r="O655" s="720"/>
      <c r="P655" s="720"/>
      <c r="Q655" s="720"/>
      <c r="R655" s="720"/>
      <c r="S655" s="720"/>
      <c r="T655" s="720"/>
      <c r="U655" s="720"/>
      <c r="V655" s="720"/>
      <c r="W655" s="720"/>
      <c r="X655" s="720"/>
      <c r="Y655" s="720"/>
      <c r="Z655" s="720"/>
      <c r="AA655" s="720"/>
      <c r="AB655" s="720"/>
    </row>
    <row r="656" spans="1:28" ht="12.75" customHeight="1">
      <c r="A656" s="902"/>
      <c r="B656" s="903"/>
      <c r="C656" s="720"/>
      <c r="D656" s="720"/>
      <c r="E656" s="720"/>
      <c r="F656" s="720"/>
      <c r="G656" s="906"/>
      <c r="H656" s="720"/>
      <c r="I656" s="720"/>
      <c r="J656" s="720"/>
      <c r="K656" s="907"/>
      <c r="L656" s="720"/>
      <c r="M656" s="720"/>
      <c r="N656" s="720"/>
      <c r="O656" s="720"/>
      <c r="P656" s="720"/>
      <c r="Q656" s="720"/>
      <c r="R656" s="720"/>
      <c r="S656" s="720"/>
      <c r="T656" s="720"/>
      <c r="U656" s="720"/>
      <c r="V656" s="720"/>
      <c r="W656" s="720"/>
      <c r="X656" s="720"/>
      <c r="Y656" s="720"/>
      <c r="Z656" s="720"/>
      <c r="AA656" s="720"/>
      <c r="AB656" s="720"/>
    </row>
    <row r="657" spans="1:28" ht="12.75" customHeight="1">
      <c r="A657" s="902"/>
      <c r="B657" s="903"/>
      <c r="C657" s="720"/>
      <c r="D657" s="720"/>
      <c r="E657" s="720"/>
      <c r="F657" s="720"/>
      <c r="G657" s="906"/>
      <c r="H657" s="720"/>
      <c r="I657" s="720"/>
      <c r="J657" s="720"/>
      <c r="K657" s="907"/>
      <c r="L657" s="720"/>
      <c r="M657" s="720"/>
      <c r="N657" s="720"/>
      <c r="O657" s="720"/>
      <c r="P657" s="720"/>
      <c r="Q657" s="720"/>
      <c r="R657" s="720"/>
      <c r="S657" s="720"/>
      <c r="T657" s="720"/>
      <c r="U657" s="720"/>
      <c r="V657" s="720"/>
      <c r="W657" s="720"/>
      <c r="X657" s="720"/>
      <c r="Y657" s="720"/>
      <c r="Z657" s="720"/>
      <c r="AA657" s="720"/>
      <c r="AB657" s="720"/>
    </row>
    <row r="658" spans="1:28" ht="12.75" customHeight="1">
      <c r="A658" s="902"/>
      <c r="B658" s="903"/>
      <c r="C658" s="720"/>
      <c r="D658" s="720"/>
      <c r="E658" s="720"/>
      <c r="F658" s="720"/>
      <c r="G658" s="906"/>
      <c r="H658" s="720"/>
      <c r="I658" s="720"/>
      <c r="J658" s="720"/>
      <c r="K658" s="907"/>
      <c r="L658" s="720"/>
      <c r="M658" s="720"/>
      <c r="N658" s="720"/>
      <c r="O658" s="720"/>
      <c r="P658" s="720"/>
      <c r="Q658" s="720"/>
      <c r="R658" s="720"/>
      <c r="S658" s="720"/>
      <c r="T658" s="720"/>
      <c r="U658" s="720"/>
      <c r="V658" s="720"/>
      <c r="W658" s="720"/>
      <c r="X658" s="720"/>
      <c r="Y658" s="720"/>
      <c r="Z658" s="720"/>
      <c r="AA658" s="720"/>
      <c r="AB658" s="720"/>
    </row>
    <row r="659" spans="1:28" ht="12.75" customHeight="1">
      <c r="A659" s="902"/>
      <c r="B659" s="903"/>
      <c r="C659" s="720"/>
      <c r="D659" s="720"/>
      <c r="E659" s="720"/>
      <c r="F659" s="720"/>
      <c r="G659" s="906"/>
      <c r="H659" s="720"/>
      <c r="I659" s="720"/>
      <c r="J659" s="720"/>
      <c r="K659" s="907"/>
      <c r="L659" s="720"/>
      <c r="M659" s="720"/>
      <c r="N659" s="720"/>
      <c r="O659" s="720"/>
      <c r="P659" s="720"/>
      <c r="Q659" s="720"/>
      <c r="R659" s="720"/>
      <c r="S659" s="720"/>
      <c r="T659" s="720"/>
      <c r="U659" s="720"/>
      <c r="V659" s="720"/>
      <c r="W659" s="720"/>
      <c r="X659" s="720"/>
      <c r="Y659" s="720"/>
      <c r="Z659" s="720"/>
      <c r="AA659" s="720"/>
      <c r="AB659" s="720"/>
    </row>
    <row r="660" spans="1:28" ht="12.75" customHeight="1">
      <c r="A660" s="902"/>
      <c r="B660" s="903"/>
      <c r="C660" s="720"/>
      <c r="D660" s="720"/>
      <c r="E660" s="720"/>
      <c r="F660" s="720"/>
      <c r="G660" s="906"/>
      <c r="H660" s="720"/>
      <c r="I660" s="720"/>
      <c r="J660" s="720"/>
      <c r="K660" s="907"/>
      <c r="L660" s="720"/>
      <c r="M660" s="720"/>
      <c r="N660" s="720"/>
      <c r="O660" s="720"/>
      <c r="P660" s="720"/>
      <c r="Q660" s="720"/>
      <c r="R660" s="720"/>
      <c r="S660" s="720"/>
      <c r="T660" s="720"/>
      <c r="U660" s="720"/>
      <c r="V660" s="720"/>
      <c r="W660" s="720"/>
      <c r="X660" s="720"/>
      <c r="Y660" s="720"/>
      <c r="Z660" s="720"/>
      <c r="AA660" s="720"/>
      <c r="AB660" s="720"/>
    </row>
    <row r="661" spans="1:28" ht="12.75" customHeight="1">
      <c r="A661" s="902"/>
      <c r="B661" s="903"/>
      <c r="C661" s="720"/>
      <c r="D661" s="720"/>
      <c r="E661" s="720"/>
      <c r="F661" s="720"/>
      <c r="G661" s="906"/>
      <c r="H661" s="720"/>
      <c r="I661" s="720"/>
      <c r="J661" s="720"/>
      <c r="K661" s="907"/>
      <c r="L661" s="720"/>
      <c r="M661" s="720"/>
      <c r="N661" s="720"/>
      <c r="O661" s="720"/>
      <c r="P661" s="720"/>
      <c r="Q661" s="720"/>
      <c r="R661" s="720"/>
      <c r="S661" s="720"/>
      <c r="T661" s="720"/>
      <c r="U661" s="720"/>
      <c r="V661" s="720"/>
      <c r="W661" s="720"/>
      <c r="X661" s="720"/>
      <c r="Y661" s="720"/>
      <c r="Z661" s="720"/>
      <c r="AA661" s="720"/>
      <c r="AB661" s="720"/>
    </row>
    <row r="662" spans="1:28" ht="12.75" customHeight="1">
      <c r="A662" s="902"/>
      <c r="B662" s="903"/>
      <c r="C662" s="720"/>
      <c r="D662" s="720"/>
      <c r="E662" s="720"/>
      <c r="F662" s="720"/>
      <c r="G662" s="906"/>
      <c r="H662" s="720"/>
      <c r="I662" s="720"/>
      <c r="J662" s="720"/>
      <c r="K662" s="907"/>
      <c r="L662" s="720"/>
      <c r="M662" s="720"/>
      <c r="N662" s="720"/>
      <c r="O662" s="720"/>
      <c r="P662" s="720"/>
      <c r="Q662" s="720"/>
      <c r="R662" s="720"/>
      <c r="S662" s="720"/>
      <c r="T662" s="720"/>
      <c r="U662" s="720"/>
      <c r="V662" s="720"/>
      <c r="W662" s="720"/>
      <c r="X662" s="720"/>
      <c r="Y662" s="720"/>
      <c r="Z662" s="720"/>
      <c r="AA662" s="720"/>
      <c r="AB662" s="720"/>
    </row>
    <row r="663" spans="1:28" ht="12.75" customHeight="1">
      <c r="A663" s="902"/>
      <c r="B663" s="903"/>
      <c r="C663" s="720"/>
      <c r="D663" s="720"/>
      <c r="E663" s="720"/>
      <c r="F663" s="720"/>
      <c r="G663" s="906"/>
      <c r="H663" s="720"/>
      <c r="I663" s="720"/>
      <c r="J663" s="720"/>
      <c r="K663" s="907"/>
      <c r="L663" s="720"/>
      <c r="M663" s="720"/>
      <c r="N663" s="720"/>
      <c r="O663" s="720"/>
      <c r="P663" s="720"/>
      <c r="Q663" s="720"/>
      <c r="R663" s="720"/>
      <c r="S663" s="720"/>
      <c r="T663" s="720"/>
      <c r="U663" s="720"/>
      <c r="V663" s="720"/>
      <c r="W663" s="720"/>
      <c r="X663" s="720"/>
      <c r="Y663" s="720"/>
      <c r="Z663" s="720"/>
      <c r="AA663" s="720"/>
      <c r="AB663" s="720"/>
    </row>
    <row r="664" spans="1:28" ht="12.75" customHeight="1">
      <c r="A664" s="902"/>
      <c r="B664" s="903"/>
      <c r="C664" s="720"/>
      <c r="D664" s="720"/>
      <c r="E664" s="720"/>
      <c r="F664" s="720"/>
      <c r="G664" s="906"/>
      <c r="H664" s="720"/>
      <c r="I664" s="720"/>
      <c r="J664" s="720"/>
      <c r="K664" s="907"/>
      <c r="L664" s="720"/>
      <c r="M664" s="720"/>
      <c r="N664" s="720"/>
      <c r="O664" s="720"/>
      <c r="P664" s="720"/>
      <c r="Q664" s="720"/>
      <c r="R664" s="720"/>
      <c r="S664" s="720"/>
      <c r="T664" s="720"/>
      <c r="U664" s="720"/>
      <c r="V664" s="720"/>
      <c r="W664" s="720"/>
      <c r="X664" s="720"/>
      <c r="Y664" s="720"/>
      <c r="Z664" s="720"/>
      <c r="AA664" s="720"/>
      <c r="AB664" s="720"/>
    </row>
    <row r="665" spans="1:28" ht="12.75" customHeight="1">
      <c r="A665" s="902"/>
      <c r="B665" s="903"/>
      <c r="C665" s="720"/>
      <c r="D665" s="720"/>
      <c r="E665" s="720"/>
      <c r="F665" s="720"/>
      <c r="G665" s="906"/>
      <c r="H665" s="720"/>
      <c r="I665" s="720"/>
      <c r="J665" s="720"/>
      <c r="K665" s="907"/>
      <c r="L665" s="720"/>
      <c r="M665" s="720"/>
      <c r="N665" s="720"/>
      <c r="O665" s="720"/>
      <c r="P665" s="720"/>
      <c r="Q665" s="720"/>
      <c r="R665" s="720"/>
      <c r="S665" s="720"/>
      <c r="T665" s="720"/>
      <c r="U665" s="720"/>
      <c r="V665" s="720"/>
      <c r="W665" s="720"/>
      <c r="X665" s="720"/>
      <c r="Y665" s="720"/>
      <c r="Z665" s="720"/>
      <c r="AA665" s="720"/>
      <c r="AB665" s="720"/>
    </row>
    <row r="666" spans="1:28" ht="12.75" customHeight="1">
      <c r="A666" s="902"/>
      <c r="B666" s="903"/>
      <c r="C666" s="720"/>
      <c r="D666" s="720"/>
      <c r="E666" s="720"/>
      <c r="F666" s="720"/>
      <c r="G666" s="906"/>
      <c r="H666" s="720"/>
      <c r="I666" s="720"/>
      <c r="J666" s="720"/>
      <c r="K666" s="907"/>
      <c r="L666" s="720"/>
      <c r="M666" s="720"/>
      <c r="N666" s="720"/>
      <c r="O666" s="720"/>
      <c r="P666" s="720"/>
      <c r="Q666" s="720"/>
      <c r="R666" s="720"/>
      <c r="S666" s="720"/>
      <c r="T666" s="720"/>
      <c r="U666" s="720"/>
      <c r="V666" s="720"/>
      <c r="W666" s="720"/>
      <c r="X666" s="720"/>
      <c r="Y666" s="720"/>
      <c r="Z666" s="720"/>
      <c r="AA666" s="720"/>
      <c r="AB666" s="720"/>
    </row>
    <row r="667" spans="1:28" ht="12.75" customHeight="1">
      <c r="A667" s="902"/>
      <c r="B667" s="903"/>
      <c r="C667" s="720"/>
      <c r="D667" s="720"/>
      <c r="E667" s="720"/>
      <c r="F667" s="720"/>
      <c r="G667" s="906"/>
      <c r="H667" s="720"/>
      <c r="I667" s="720"/>
      <c r="J667" s="720"/>
      <c r="K667" s="907"/>
      <c r="L667" s="720"/>
      <c r="M667" s="720"/>
      <c r="N667" s="720"/>
      <c r="O667" s="720"/>
      <c r="P667" s="720"/>
      <c r="Q667" s="720"/>
      <c r="R667" s="720"/>
      <c r="S667" s="720"/>
      <c r="T667" s="720"/>
      <c r="U667" s="720"/>
      <c r="V667" s="720"/>
      <c r="W667" s="720"/>
      <c r="X667" s="720"/>
      <c r="Y667" s="720"/>
      <c r="Z667" s="720"/>
      <c r="AA667" s="720"/>
      <c r="AB667" s="720"/>
    </row>
    <row r="668" spans="1:28" ht="12.75" customHeight="1">
      <c r="A668" s="902"/>
      <c r="B668" s="903"/>
      <c r="C668" s="720"/>
      <c r="D668" s="720"/>
      <c r="E668" s="720"/>
      <c r="F668" s="720"/>
      <c r="G668" s="906"/>
      <c r="H668" s="720"/>
      <c r="I668" s="720"/>
      <c r="J668" s="720"/>
      <c r="K668" s="907"/>
      <c r="L668" s="720"/>
      <c r="M668" s="720"/>
      <c r="N668" s="720"/>
      <c r="O668" s="720"/>
      <c r="P668" s="720"/>
      <c r="Q668" s="720"/>
      <c r="R668" s="720"/>
      <c r="S668" s="720"/>
      <c r="T668" s="720"/>
      <c r="U668" s="720"/>
      <c r="V668" s="720"/>
      <c r="W668" s="720"/>
      <c r="X668" s="720"/>
      <c r="Y668" s="720"/>
      <c r="Z668" s="720"/>
      <c r="AA668" s="720"/>
      <c r="AB668" s="720"/>
    </row>
    <row r="669" spans="1:28" ht="12.75" customHeight="1">
      <c r="A669" s="902"/>
      <c r="B669" s="903"/>
      <c r="C669" s="720"/>
      <c r="D669" s="720"/>
      <c r="E669" s="720"/>
      <c r="F669" s="720"/>
      <c r="G669" s="906"/>
      <c r="H669" s="720"/>
      <c r="I669" s="720"/>
      <c r="J669" s="720"/>
      <c r="K669" s="907"/>
      <c r="L669" s="720"/>
      <c r="M669" s="720"/>
      <c r="N669" s="720"/>
      <c r="O669" s="720"/>
      <c r="P669" s="720"/>
      <c r="Q669" s="720"/>
      <c r="R669" s="720"/>
      <c r="S669" s="720"/>
      <c r="T669" s="720"/>
      <c r="U669" s="720"/>
      <c r="V669" s="720"/>
      <c r="W669" s="720"/>
      <c r="X669" s="720"/>
      <c r="Y669" s="720"/>
      <c r="Z669" s="720"/>
      <c r="AA669" s="720"/>
      <c r="AB669" s="720"/>
    </row>
    <row r="670" spans="1:28" ht="12.75" customHeight="1">
      <c r="A670" s="902"/>
      <c r="B670" s="903"/>
      <c r="C670" s="720"/>
      <c r="D670" s="720"/>
      <c r="E670" s="720"/>
      <c r="F670" s="720"/>
      <c r="G670" s="906"/>
      <c r="H670" s="720"/>
      <c r="I670" s="720"/>
      <c r="J670" s="720"/>
      <c r="K670" s="907"/>
      <c r="L670" s="720"/>
      <c r="M670" s="720"/>
      <c r="N670" s="720"/>
      <c r="O670" s="720"/>
      <c r="P670" s="720"/>
      <c r="Q670" s="720"/>
      <c r="R670" s="720"/>
      <c r="S670" s="720"/>
      <c r="T670" s="720"/>
      <c r="U670" s="720"/>
      <c r="V670" s="720"/>
      <c r="W670" s="720"/>
      <c r="X670" s="720"/>
      <c r="Y670" s="720"/>
      <c r="Z670" s="720"/>
      <c r="AA670" s="720"/>
      <c r="AB670" s="720"/>
    </row>
    <row r="671" spans="1:28" ht="12.75" customHeight="1">
      <c r="A671" s="902"/>
      <c r="B671" s="903"/>
      <c r="C671" s="720"/>
      <c r="D671" s="720"/>
      <c r="E671" s="720"/>
      <c r="F671" s="720"/>
      <c r="G671" s="906"/>
      <c r="H671" s="720"/>
      <c r="I671" s="720"/>
      <c r="J671" s="720"/>
      <c r="K671" s="907"/>
      <c r="L671" s="720"/>
      <c r="M671" s="720"/>
      <c r="N671" s="720"/>
      <c r="O671" s="720"/>
      <c r="P671" s="720"/>
      <c r="Q671" s="720"/>
      <c r="R671" s="720"/>
      <c r="S671" s="720"/>
      <c r="T671" s="720"/>
      <c r="U671" s="720"/>
      <c r="V671" s="720"/>
      <c r="W671" s="720"/>
      <c r="X671" s="720"/>
      <c r="Y671" s="720"/>
      <c r="Z671" s="720"/>
      <c r="AA671" s="720"/>
      <c r="AB671" s="720"/>
    </row>
    <row r="672" spans="1:28" ht="12.75" customHeight="1">
      <c r="A672" s="902"/>
      <c r="B672" s="903"/>
      <c r="C672" s="720"/>
      <c r="D672" s="720"/>
      <c r="E672" s="720"/>
      <c r="F672" s="720"/>
      <c r="G672" s="906"/>
      <c r="H672" s="720"/>
      <c r="I672" s="720"/>
      <c r="J672" s="720"/>
      <c r="K672" s="907"/>
      <c r="L672" s="720"/>
      <c r="M672" s="720"/>
      <c r="N672" s="720"/>
      <c r="O672" s="720"/>
      <c r="P672" s="720"/>
      <c r="Q672" s="720"/>
      <c r="R672" s="720"/>
      <c r="S672" s="720"/>
      <c r="T672" s="720"/>
      <c r="U672" s="720"/>
      <c r="V672" s="720"/>
      <c r="W672" s="720"/>
      <c r="X672" s="720"/>
      <c r="Y672" s="720"/>
      <c r="Z672" s="720"/>
      <c r="AA672" s="720"/>
      <c r="AB672" s="720"/>
    </row>
    <row r="673" spans="1:28" ht="12.75" customHeight="1">
      <c r="A673" s="902"/>
      <c r="B673" s="903"/>
      <c r="C673" s="720"/>
      <c r="D673" s="720"/>
      <c r="E673" s="720"/>
      <c r="F673" s="720"/>
      <c r="G673" s="906"/>
      <c r="H673" s="720"/>
      <c r="I673" s="720"/>
      <c r="J673" s="720"/>
      <c r="K673" s="907"/>
      <c r="L673" s="720"/>
      <c r="M673" s="720"/>
      <c r="N673" s="720"/>
      <c r="O673" s="720"/>
      <c r="P673" s="720"/>
      <c r="Q673" s="720"/>
      <c r="R673" s="720"/>
      <c r="S673" s="720"/>
      <c r="T673" s="720"/>
      <c r="U673" s="720"/>
      <c r="V673" s="720"/>
      <c r="W673" s="720"/>
      <c r="X673" s="720"/>
      <c r="Y673" s="720"/>
      <c r="Z673" s="720"/>
      <c r="AA673" s="720"/>
      <c r="AB673" s="720"/>
    </row>
    <row r="674" spans="1:28" ht="12.75" customHeight="1">
      <c r="A674" s="902"/>
      <c r="B674" s="903"/>
      <c r="C674" s="720"/>
      <c r="D674" s="720"/>
      <c r="E674" s="720"/>
      <c r="F674" s="720"/>
      <c r="G674" s="906"/>
      <c r="H674" s="720"/>
      <c r="I674" s="720"/>
      <c r="J674" s="720"/>
      <c r="K674" s="907"/>
      <c r="L674" s="720"/>
      <c r="M674" s="720"/>
      <c r="N674" s="720"/>
      <c r="O674" s="720"/>
      <c r="P674" s="720"/>
      <c r="Q674" s="720"/>
      <c r="R674" s="720"/>
      <c r="S674" s="720"/>
      <c r="T674" s="720"/>
      <c r="U674" s="720"/>
      <c r="V674" s="720"/>
      <c r="W674" s="720"/>
      <c r="X674" s="720"/>
      <c r="Y674" s="720"/>
      <c r="Z674" s="720"/>
      <c r="AA674" s="720"/>
      <c r="AB674" s="720"/>
    </row>
    <row r="675" spans="1:28" ht="12.75" customHeight="1">
      <c r="A675" s="902"/>
      <c r="B675" s="903"/>
      <c r="C675" s="720"/>
      <c r="D675" s="720"/>
      <c r="E675" s="720"/>
      <c r="F675" s="720"/>
      <c r="G675" s="906"/>
      <c r="H675" s="720"/>
      <c r="I675" s="720"/>
      <c r="J675" s="720"/>
      <c r="K675" s="907"/>
      <c r="L675" s="720"/>
      <c r="M675" s="720"/>
      <c r="N675" s="720"/>
      <c r="O675" s="720"/>
      <c r="P675" s="720"/>
      <c r="Q675" s="720"/>
      <c r="R675" s="720"/>
      <c r="S675" s="720"/>
      <c r="T675" s="720"/>
      <c r="U675" s="720"/>
      <c r="V675" s="720"/>
      <c r="W675" s="720"/>
      <c r="X675" s="720"/>
      <c r="Y675" s="720"/>
      <c r="Z675" s="720"/>
      <c r="AA675" s="720"/>
      <c r="AB675" s="720"/>
    </row>
    <row r="676" spans="1:28" ht="12.75" customHeight="1">
      <c r="A676" s="902"/>
      <c r="B676" s="903"/>
      <c r="C676" s="720"/>
      <c r="D676" s="720"/>
      <c r="E676" s="720"/>
      <c r="F676" s="720"/>
      <c r="G676" s="906"/>
      <c r="H676" s="720"/>
      <c r="I676" s="720"/>
      <c r="J676" s="720"/>
      <c r="K676" s="907"/>
      <c r="L676" s="720"/>
      <c r="M676" s="720"/>
      <c r="N676" s="720"/>
      <c r="O676" s="720"/>
      <c r="P676" s="720"/>
      <c r="Q676" s="720"/>
      <c r="R676" s="720"/>
      <c r="S676" s="720"/>
      <c r="T676" s="720"/>
      <c r="U676" s="720"/>
      <c r="V676" s="720"/>
      <c r="W676" s="720"/>
      <c r="X676" s="720"/>
      <c r="Y676" s="720"/>
      <c r="Z676" s="720"/>
      <c r="AA676" s="720"/>
      <c r="AB676" s="720"/>
    </row>
    <row r="677" spans="1:28" ht="12.75" customHeight="1">
      <c r="A677" s="902"/>
      <c r="B677" s="903"/>
      <c r="C677" s="720"/>
      <c r="D677" s="720"/>
      <c r="E677" s="720"/>
      <c r="F677" s="720"/>
      <c r="G677" s="906"/>
      <c r="H677" s="720"/>
      <c r="I677" s="720"/>
      <c r="J677" s="720"/>
      <c r="K677" s="907"/>
      <c r="L677" s="720"/>
      <c r="M677" s="720"/>
      <c r="N677" s="720"/>
      <c r="O677" s="720"/>
      <c r="P677" s="720"/>
      <c r="Q677" s="720"/>
      <c r="R677" s="720"/>
      <c r="S677" s="720"/>
      <c r="T677" s="720"/>
      <c r="U677" s="720"/>
      <c r="V677" s="720"/>
      <c r="W677" s="720"/>
      <c r="X677" s="720"/>
      <c r="Y677" s="720"/>
      <c r="Z677" s="720"/>
      <c r="AA677" s="720"/>
      <c r="AB677" s="720"/>
    </row>
    <row r="678" spans="1:28" ht="12.75" customHeight="1">
      <c r="A678" s="902"/>
      <c r="B678" s="903"/>
      <c r="C678" s="720"/>
      <c r="D678" s="720"/>
      <c r="E678" s="720"/>
      <c r="F678" s="720"/>
      <c r="G678" s="906"/>
      <c r="H678" s="720"/>
      <c r="I678" s="720"/>
      <c r="J678" s="720"/>
      <c r="K678" s="907"/>
      <c r="L678" s="720"/>
      <c r="M678" s="720"/>
      <c r="N678" s="720"/>
      <c r="O678" s="720"/>
      <c r="P678" s="720"/>
      <c r="Q678" s="720"/>
      <c r="R678" s="720"/>
      <c r="S678" s="720"/>
      <c r="T678" s="720"/>
      <c r="U678" s="720"/>
      <c r="V678" s="720"/>
      <c r="W678" s="720"/>
      <c r="X678" s="720"/>
      <c r="Y678" s="720"/>
      <c r="Z678" s="720"/>
      <c r="AA678" s="720"/>
      <c r="AB678" s="720"/>
    </row>
    <row r="679" spans="1:28" ht="12.75" customHeight="1">
      <c r="A679" s="902"/>
      <c r="B679" s="903"/>
      <c r="C679" s="720"/>
      <c r="D679" s="720"/>
      <c r="E679" s="720"/>
      <c r="F679" s="720"/>
      <c r="G679" s="906"/>
      <c r="H679" s="720"/>
      <c r="I679" s="720"/>
      <c r="J679" s="720"/>
      <c r="K679" s="907"/>
      <c r="L679" s="720"/>
      <c r="M679" s="720"/>
      <c r="N679" s="720"/>
      <c r="O679" s="720"/>
      <c r="P679" s="720"/>
      <c r="Q679" s="720"/>
      <c r="R679" s="720"/>
      <c r="S679" s="720"/>
      <c r="T679" s="720"/>
      <c r="U679" s="720"/>
      <c r="V679" s="720"/>
      <c r="W679" s="720"/>
      <c r="X679" s="720"/>
      <c r="Y679" s="720"/>
      <c r="Z679" s="720"/>
      <c r="AA679" s="720"/>
      <c r="AB679" s="720"/>
    </row>
    <row r="680" spans="1:28" ht="12.75" customHeight="1">
      <c r="A680" s="902"/>
      <c r="B680" s="903"/>
      <c r="C680" s="720"/>
      <c r="D680" s="720"/>
      <c r="E680" s="720"/>
      <c r="F680" s="720"/>
      <c r="G680" s="906"/>
      <c r="H680" s="720"/>
      <c r="I680" s="720"/>
      <c r="J680" s="720"/>
      <c r="K680" s="907"/>
      <c r="L680" s="720"/>
      <c r="M680" s="720"/>
      <c r="N680" s="720"/>
      <c r="O680" s="720"/>
      <c r="P680" s="720"/>
      <c r="Q680" s="720"/>
      <c r="R680" s="720"/>
      <c r="S680" s="720"/>
      <c r="T680" s="720"/>
      <c r="U680" s="720"/>
      <c r="V680" s="720"/>
      <c r="W680" s="720"/>
      <c r="X680" s="720"/>
      <c r="Y680" s="720"/>
      <c r="Z680" s="720"/>
      <c r="AA680" s="720"/>
      <c r="AB680" s="720"/>
    </row>
    <row r="681" spans="1:28" ht="12.75" customHeight="1">
      <c r="A681" s="902"/>
      <c r="B681" s="903"/>
      <c r="C681" s="720"/>
      <c r="D681" s="720"/>
      <c r="E681" s="720"/>
      <c r="F681" s="720"/>
      <c r="G681" s="906"/>
      <c r="H681" s="720"/>
      <c r="I681" s="720"/>
      <c r="J681" s="720"/>
      <c r="K681" s="907"/>
      <c r="L681" s="720"/>
      <c r="M681" s="720"/>
      <c r="N681" s="720"/>
      <c r="O681" s="720"/>
      <c r="P681" s="720"/>
      <c r="Q681" s="720"/>
      <c r="R681" s="720"/>
      <c r="S681" s="720"/>
      <c r="T681" s="720"/>
      <c r="U681" s="720"/>
      <c r="V681" s="720"/>
      <c r="W681" s="720"/>
      <c r="X681" s="720"/>
      <c r="Y681" s="720"/>
      <c r="Z681" s="720"/>
      <c r="AA681" s="720"/>
      <c r="AB681" s="720"/>
    </row>
    <row r="682" spans="1:28" ht="12.75" customHeight="1">
      <c r="A682" s="902"/>
      <c r="B682" s="903"/>
      <c r="C682" s="720"/>
      <c r="D682" s="720"/>
      <c r="E682" s="720"/>
      <c r="F682" s="720"/>
      <c r="G682" s="906"/>
      <c r="H682" s="720"/>
      <c r="I682" s="720"/>
      <c r="J682" s="720"/>
      <c r="K682" s="907"/>
      <c r="L682" s="720"/>
      <c r="M682" s="720"/>
      <c r="N682" s="720"/>
      <c r="O682" s="720"/>
      <c r="P682" s="720"/>
      <c r="Q682" s="720"/>
      <c r="R682" s="720"/>
      <c r="S682" s="720"/>
      <c r="T682" s="720"/>
      <c r="U682" s="720"/>
      <c r="V682" s="720"/>
      <c r="W682" s="720"/>
      <c r="X682" s="720"/>
      <c r="Y682" s="720"/>
      <c r="Z682" s="720"/>
      <c r="AA682" s="720"/>
      <c r="AB682" s="720"/>
    </row>
    <row r="683" spans="1:28" ht="12.75" customHeight="1">
      <c r="A683" s="902"/>
      <c r="B683" s="903"/>
      <c r="C683" s="720"/>
      <c r="D683" s="720"/>
      <c r="E683" s="720"/>
      <c r="F683" s="720"/>
      <c r="G683" s="906"/>
      <c r="H683" s="720"/>
      <c r="I683" s="720"/>
      <c r="J683" s="720"/>
      <c r="K683" s="907"/>
      <c r="L683" s="720"/>
      <c r="M683" s="720"/>
      <c r="N683" s="720"/>
      <c r="O683" s="720"/>
      <c r="P683" s="720"/>
      <c r="Q683" s="720"/>
      <c r="R683" s="720"/>
      <c r="S683" s="720"/>
      <c r="T683" s="720"/>
      <c r="U683" s="720"/>
      <c r="V683" s="720"/>
      <c r="W683" s="720"/>
      <c r="X683" s="720"/>
      <c r="Y683" s="720"/>
      <c r="Z683" s="720"/>
      <c r="AA683" s="720"/>
      <c r="AB683" s="720"/>
    </row>
    <row r="684" spans="1:28" ht="12.75" customHeight="1">
      <c r="A684" s="902"/>
      <c r="B684" s="903"/>
      <c r="C684" s="720"/>
      <c r="D684" s="720"/>
      <c r="E684" s="720"/>
      <c r="F684" s="720"/>
      <c r="G684" s="906"/>
      <c r="H684" s="720"/>
      <c r="I684" s="720"/>
      <c r="J684" s="720"/>
      <c r="K684" s="907"/>
      <c r="L684" s="720"/>
      <c r="M684" s="720"/>
      <c r="N684" s="720"/>
      <c r="O684" s="720"/>
      <c r="P684" s="720"/>
      <c r="Q684" s="720"/>
      <c r="R684" s="720"/>
      <c r="S684" s="720"/>
      <c r="T684" s="720"/>
      <c r="U684" s="720"/>
      <c r="V684" s="720"/>
      <c r="W684" s="720"/>
      <c r="X684" s="720"/>
      <c r="Y684" s="720"/>
      <c r="Z684" s="720"/>
      <c r="AA684" s="720"/>
      <c r="AB684" s="720"/>
    </row>
    <row r="685" spans="1:28" ht="12.75" customHeight="1">
      <c r="A685" s="902"/>
      <c r="B685" s="903"/>
      <c r="C685" s="720"/>
      <c r="D685" s="720"/>
      <c r="E685" s="720"/>
      <c r="F685" s="720"/>
      <c r="G685" s="906"/>
      <c r="H685" s="720"/>
      <c r="I685" s="720"/>
      <c r="J685" s="720"/>
      <c r="K685" s="907"/>
      <c r="L685" s="720"/>
      <c r="M685" s="720"/>
      <c r="N685" s="720"/>
      <c r="O685" s="720"/>
      <c r="P685" s="720"/>
      <c r="Q685" s="720"/>
      <c r="R685" s="720"/>
      <c r="S685" s="720"/>
      <c r="T685" s="720"/>
      <c r="U685" s="720"/>
      <c r="V685" s="720"/>
      <c r="W685" s="720"/>
      <c r="X685" s="720"/>
      <c r="Y685" s="720"/>
      <c r="Z685" s="720"/>
      <c r="AA685" s="720"/>
      <c r="AB685" s="720"/>
    </row>
    <row r="686" spans="1:28" ht="12.75" customHeight="1">
      <c r="A686" s="902"/>
      <c r="B686" s="903"/>
      <c r="C686" s="720"/>
      <c r="D686" s="720"/>
      <c r="E686" s="720"/>
      <c r="F686" s="720"/>
      <c r="G686" s="906"/>
      <c r="H686" s="720"/>
      <c r="I686" s="720"/>
      <c r="J686" s="720"/>
      <c r="K686" s="907"/>
      <c r="L686" s="720"/>
      <c r="M686" s="720"/>
      <c r="N686" s="720"/>
      <c r="O686" s="720"/>
      <c r="P686" s="720"/>
      <c r="Q686" s="720"/>
      <c r="R686" s="720"/>
      <c r="S686" s="720"/>
      <c r="T686" s="720"/>
      <c r="U686" s="720"/>
      <c r="V686" s="720"/>
      <c r="W686" s="720"/>
      <c r="X686" s="720"/>
      <c r="Y686" s="720"/>
      <c r="Z686" s="720"/>
      <c r="AA686" s="720"/>
      <c r="AB686" s="720"/>
    </row>
    <row r="687" spans="1:28" ht="12.75" customHeight="1">
      <c r="A687" s="902"/>
      <c r="B687" s="903"/>
      <c r="C687" s="720"/>
      <c r="D687" s="720"/>
      <c r="E687" s="720"/>
      <c r="F687" s="720"/>
      <c r="G687" s="906"/>
      <c r="H687" s="720"/>
      <c r="I687" s="720"/>
      <c r="J687" s="720"/>
      <c r="K687" s="907"/>
      <c r="L687" s="720"/>
      <c r="M687" s="720"/>
      <c r="N687" s="720"/>
      <c r="O687" s="720"/>
      <c r="P687" s="720"/>
      <c r="Q687" s="720"/>
      <c r="R687" s="720"/>
      <c r="S687" s="720"/>
      <c r="T687" s="720"/>
      <c r="U687" s="720"/>
      <c r="V687" s="720"/>
      <c r="W687" s="720"/>
      <c r="X687" s="720"/>
      <c r="Y687" s="720"/>
      <c r="Z687" s="720"/>
      <c r="AA687" s="720"/>
      <c r="AB687" s="720"/>
    </row>
    <row r="688" spans="1:28" ht="12.75" customHeight="1">
      <c r="A688" s="902"/>
      <c r="B688" s="903"/>
      <c r="C688" s="720"/>
      <c r="D688" s="720"/>
      <c r="E688" s="720"/>
      <c r="F688" s="720"/>
      <c r="G688" s="906"/>
      <c r="H688" s="720"/>
      <c r="I688" s="720"/>
      <c r="J688" s="720"/>
      <c r="K688" s="907"/>
      <c r="L688" s="720"/>
      <c r="M688" s="720"/>
      <c r="N688" s="720"/>
      <c r="O688" s="720"/>
      <c r="P688" s="720"/>
      <c r="Q688" s="720"/>
      <c r="R688" s="720"/>
      <c r="S688" s="720"/>
      <c r="T688" s="720"/>
      <c r="U688" s="720"/>
      <c r="V688" s="720"/>
      <c r="W688" s="720"/>
      <c r="X688" s="720"/>
      <c r="Y688" s="720"/>
      <c r="Z688" s="720"/>
      <c r="AA688" s="720"/>
      <c r="AB688" s="720"/>
    </row>
    <row r="689" spans="1:28" ht="12.75" customHeight="1">
      <c r="A689" s="902"/>
      <c r="B689" s="903"/>
      <c r="C689" s="720"/>
      <c r="D689" s="720"/>
      <c r="E689" s="720"/>
      <c r="F689" s="720"/>
      <c r="G689" s="906"/>
      <c r="H689" s="720"/>
      <c r="I689" s="720"/>
      <c r="J689" s="720"/>
      <c r="K689" s="907"/>
      <c r="L689" s="720"/>
      <c r="M689" s="720"/>
      <c r="N689" s="720"/>
      <c r="O689" s="720"/>
      <c r="P689" s="720"/>
      <c r="Q689" s="720"/>
      <c r="R689" s="720"/>
      <c r="S689" s="720"/>
      <c r="T689" s="720"/>
      <c r="U689" s="720"/>
      <c r="V689" s="720"/>
      <c r="W689" s="720"/>
      <c r="X689" s="720"/>
      <c r="Y689" s="720"/>
      <c r="Z689" s="720"/>
      <c r="AA689" s="720"/>
      <c r="AB689" s="720"/>
    </row>
    <row r="690" spans="1:28" ht="12.75" customHeight="1">
      <c r="A690" s="902"/>
      <c r="B690" s="903"/>
      <c r="C690" s="720"/>
      <c r="D690" s="720"/>
      <c r="E690" s="720"/>
      <c r="F690" s="720"/>
      <c r="G690" s="906"/>
      <c r="H690" s="720"/>
      <c r="I690" s="720"/>
      <c r="J690" s="720"/>
      <c r="K690" s="907"/>
      <c r="L690" s="720"/>
      <c r="M690" s="720"/>
      <c r="N690" s="720"/>
      <c r="O690" s="720"/>
      <c r="P690" s="720"/>
      <c r="Q690" s="720"/>
      <c r="R690" s="720"/>
      <c r="S690" s="720"/>
      <c r="T690" s="720"/>
      <c r="U690" s="720"/>
      <c r="V690" s="720"/>
      <c r="W690" s="720"/>
      <c r="X690" s="720"/>
      <c r="Y690" s="720"/>
      <c r="Z690" s="720"/>
      <c r="AA690" s="720"/>
      <c r="AB690" s="720"/>
    </row>
    <row r="691" spans="1:28" ht="12.75" customHeight="1">
      <c r="A691" s="902"/>
      <c r="B691" s="903"/>
      <c r="C691" s="720"/>
      <c r="D691" s="720"/>
      <c r="E691" s="720"/>
      <c r="F691" s="720"/>
      <c r="G691" s="906"/>
      <c r="H691" s="720"/>
      <c r="I691" s="720"/>
      <c r="J691" s="720"/>
      <c r="K691" s="907"/>
      <c r="L691" s="720"/>
      <c r="M691" s="720"/>
      <c r="N691" s="720"/>
      <c r="O691" s="720"/>
      <c r="P691" s="720"/>
      <c r="Q691" s="720"/>
      <c r="R691" s="720"/>
      <c r="S691" s="720"/>
      <c r="T691" s="720"/>
      <c r="U691" s="720"/>
      <c r="V691" s="720"/>
      <c r="W691" s="720"/>
      <c r="X691" s="720"/>
      <c r="Y691" s="720"/>
      <c r="Z691" s="720"/>
      <c r="AA691" s="720"/>
      <c r="AB691" s="720"/>
    </row>
    <row r="692" spans="1:28" ht="12.75" customHeight="1">
      <c r="A692" s="902"/>
      <c r="B692" s="903"/>
      <c r="C692" s="720"/>
      <c r="D692" s="720"/>
      <c r="E692" s="720"/>
      <c r="F692" s="720"/>
      <c r="G692" s="906"/>
      <c r="H692" s="720"/>
      <c r="I692" s="720"/>
      <c r="J692" s="720"/>
      <c r="K692" s="907"/>
      <c r="L692" s="720"/>
      <c r="M692" s="720"/>
      <c r="N692" s="720"/>
      <c r="O692" s="720"/>
      <c r="P692" s="720"/>
      <c r="Q692" s="720"/>
      <c r="R692" s="720"/>
      <c r="S692" s="720"/>
      <c r="T692" s="720"/>
      <c r="U692" s="720"/>
      <c r="V692" s="720"/>
      <c r="W692" s="720"/>
      <c r="X692" s="720"/>
      <c r="Y692" s="720"/>
      <c r="Z692" s="720"/>
      <c r="AA692" s="720"/>
      <c r="AB692" s="720"/>
    </row>
    <row r="693" spans="1:28" ht="12.75" customHeight="1">
      <c r="A693" s="902"/>
      <c r="B693" s="903"/>
      <c r="C693" s="720"/>
      <c r="D693" s="720"/>
      <c r="E693" s="720"/>
      <c r="F693" s="720"/>
      <c r="G693" s="906"/>
      <c r="H693" s="720"/>
      <c r="I693" s="720"/>
      <c r="J693" s="720"/>
      <c r="K693" s="907"/>
      <c r="L693" s="720"/>
      <c r="M693" s="720"/>
      <c r="N693" s="720"/>
      <c r="O693" s="720"/>
      <c r="P693" s="720"/>
      <c r="Q693" s="720"/>
      <c r="R693" s="720"/>
      <c r="S693" s="720"/>
      <c r="T693" s="720"/>
      <c r="U693" s="720"/>
      <c r="V693" s="720"/>
      <c r="W693" s="720"/>
      <c r="X693" s="720"/>
      <c r="Y693" s="720"/>
      <c r="Z693" s="720"/>
      <c r="AA693" s="720"/>
      <c r="AB693" s="720"/>
    </row>
    <row r="694" spans="1:28" ht="12.75" customHeight="1">
      <c r="A694" s="902"/>
      <c r="B694" s="903"/>
      <c r="C694" s="720"/>
      <c r="D694" s="720"/>
      <c r="E694" s="720"/>
      <c r="F694" s="720"/>
      <c r="G694" s="906"/>
      <c r="H694" s="720"/>
      <c r="I694" s="720"/>
      <c r="J694" s="720"/>
      <c r="K694" s="907"/>
      <c r="L694" s="720"/>
      <c r="M694" s="720"/>
      <c r="N694" s="720"/>
      <c r="O694" s="720"/>
      <c r="P694" s="720"/>
      <c r="Q694" s="720"/>
      <c r="R694" s="720"/>
      <c r="S694" s="720"/>
      <c r="T694" s="720"/>
      <c r="U694" s="720"/>
      <c r="V694" s="720"/>
      <c r="W694" s="720"/>
      <c r="X694" s="720"/>
      <c r="Y694" s="720"/>
      <c r="Z694" s="720"/>
      <c r="AA694" s="720"/>
      <c r="AB694" s="720"/>
    </row>
    <row r="695" spans="1:28" ht="12.75" customHeight="1">
      <c r="A695" s="902"/>
      <c r="B695" s="903"/>
      <c r="C695" s="720"/>
      <c r="D695" s="720"/>
      <c r="E695" s="720"/>
      <c r="F695" s="720"/>
      <c r="G695" s="906"/>
      <c r="H695" s="720"/>
      <c r="I695" s="720"/>
      <c r="J695" s="720"/>
      <c r="K695" s="907"/>
      <c r="L695" s="720"/>
      <c r="M695" s="720"/>
      <c r="N695" s="720"/>
      <c r="O695" s="720"/>
      <c r="P695" s="720"/>
      <c r="Q695" s="720"/>
      <c r="R695" s="720"/>
      <c r="S695" s="720"/>
      <c r="T695" s="720"/>
      <c r="U695" s="720"/>
      <c r="V695" s="720"/>
      <c r="W695" s="720"/>
      <c r="X695" s="720"/>
      <c r="Y695" s="720"/>
      <c r="Z695" s="720"/>
      <c r="AA695" s="720"/>
      <c r="AB695" s="720"/>
    </row>
    <row r="696" spans="1:28" ht="12.75" customHeight="1">
      <c r="A696" s="902"/>
      <c r="B696" s="903"/>
      <c r="C696" s="720"/>
      <c r="D696" s="720"/>
      <c r="E696" s="720"/>
      <c r="F696" s="720"/>
      <c r="G696" s="906"/>
      <c r="H696" s="720"/>
      <c r="I696" s="720"/>
      <c r="J696" s="720"/>
      <c r="K696" s="907"/>
      <c r="L696" s="720"/>
      <c r="M696" s="720"/>
      <c r="N696" s="720"/>
      <c r="O696" s="720"/>
      <c r="P696" s="720"/>
      <c r="Q696" s="720"/>
      <c r="R696" s="720"/>
      <c r="S696" s="720"/>
      <c r="T696" s="720"/>
      <c r="U696" s="720"/>
      <c r="V696" s="720"/>
      <c r="W696" s="720"/>
      <c r="X696" s="720"/>
      <c r="Y696" s="720"/>
      <c r="Z696" s="720"/>
      <c r="AA696" s="720"/>
      <c r="AB696" s="720"/>
    </row>
    <row r="697" spans="1:28" ht="12.75" customHeight="1">
      <c r="A697" s="902"/>
      <c r="B697" s="903"/>
      <c r="C697" s="720"/>
      <c r="D697" s="720"/>
      <c r="E697" s="720"/>
      <c r="F697" s="720"/>
      <c r="G697" s="906"/>
      <c r="H697" s="720"/>
      <c r="I697" s="720"/>
      <c r="J697" s="720"/>
      <c r="K697" s="907"/>
      <c r="L697" s="720"/>
      <c r="M697" s="720"/>
      <c r="N697" s="720"/>
      <c r="O697" s="720"/>
      <c r="P697" s="720"/>
      <c r="Q697" s="720"/>
      <c r="R697" s="720"/>
      <c r="S697" s="720"/>
      <c r="T697" s="720"/>
      <c r="U697" s="720"/>
      <c r="V697" s="720"/>
      <c r="W697" s="720"/>
      <c r="X697" s="720"/>
      <c r="Y697" s="720"/>
      <c r="Z697" s="720"/>
      <c r="AA697" s="720"/>
      <c r="AB697" s="720"/>
    </row>
    <row r="698" spans="1:28" ht="12.75" customHeight="1">
      <c r="A698" s="902"/>
      <c r="B698" s="903"/>
      <c r="C698" s="720"/>
      <c r="D698" s="720"/>
      <c r="E698" s="720"/>
      <c r="F698" s="720"/>
      <c r="G698" s="906"/>
      <c r="H698" s="720"/>
      <c r="I698" s="720"/>
      <c r="J698" s="720"/>
      <c r="K698" s="907"/>
      <c r="L698" s="720"/>
      <c r="M698" s="720"/>
      <c r="N698" s="720"/>
      <c r="O698" s="720"/>
      <c r="P698" s="720"/>
      <c r="Q698" s="720"/>
      <c r="R698" s="720"/>
      <c r="S698" s="720"/>
      <c r="T698" s="720"/>
      <c r="U698" s="720"/>
      <c r="V698" s="720"/>
      <c r="W698" s="720"/>
      <c r="X698" s="720"/>
      <c r="Y698" s="720"/>
      <c r="Z698" s="720"/>
      <c r="AA698" s="720"/>
      <c r="AB698" s="720"/>
    </row>
    <row r="699" spans="1:28" ht="12.75" customHeight="1">
      <c r="A699" s="902"/>
      <c r="B699" s="903"/>
      <c r="C699" s="720"/>
      <c r="D699" s="720"/>
      <c r="E699" s="720"/>
      <c r="F699" s="720"/>
      <c r="G699" s="906"/>
      <c r="H699" s="720"/>
      <c r="I699" s="720"/>
      <c r="J699" s="720"/>
      <c r="K699" s="907"/>
      <c r="L699" s="720"/>
      <c r="M699" s="720"/>
      <c r="N699" s="720"/>
      <c r="O699" s="720"/>
      <c r="P699" s="720"/>
      <c r="Q699" s="720"/>
      <c r="R699" s="720"/>
      <c r="S699" s="720"/>
      <c r="T699" s="720"/>
      <c r="U699" s="720"/>
      <c r="V699" s="720"/>
      <c r="W699" s="720"/>
      <c r="X699" s="720"/>
      <c r="Y699" s="720"/>
      <c r="Z699" s="720"/>
      <c r="AA699" s="720"/>
      <c r="AB699" s="720"/>
    </row>
    <row r="700" spans="1:28" ht="12.75" customHeight="1">
      <c r="A700" s="902"/>
      <c r="B700" s="903"/>
      <c r="C700" s="720"/>
      <c r="D700" s="720"/>
      <c r="E700" s="720"/>
      <c r="F700" s="720"/>
      <c r="G700" s="906"/>
      <c r="H700" s="720"/>
      <c r="I700" s="720"/>
      <c r="J700" s="720"/>
      <c r="K700" s="907"/>
      <c r="L700" s="720"/>
      <c r="M700" s="720"/>
      <c r="N700" s="720"/>
      <c r="O700" s="720"/>
      <c r="P700" s="720"/>
      <c r="Q700" s="720"/>
      <c r="R700" s="720"/>
      <c r="S700" s="720"/>
      <c r="T700" s="720"/>
      <c r="U700" s="720"/>
      <c r="V700" s="720"/>
      <c r="W700" s="720"/>
      <c r="X700" s="720"/>
      <c r="Y700" s="720"/>
      <c r="Z700" s="720"/>
      <c r="AA700" s="720"/>
      <c r="AB700" s="720"/>
    </row>
    <row r="701" spans="1:28" ht="12.75" customHeight="1">
      <c r="A701" s="902"/>
      <c r="B701" s="903"/>
      <c r="C701" s="720"/>
      <c r="D701" s="720"/>
      <c r="E701" s="720"/>
      <c r="F701" s="720"/>
      <c r="G701" s="906"/>
      <c r="H701" s="720"/>
      <c r="I701" s="720"/>
      <c r="J701" s="720"/>
      <c r="K701" s="907"/>
      <c r="L701" s="720"/>
      <c r="M701" s="720"/>
      <c r="N701" s="720"/>
      <c r="O701" s="720"/>
      <c r="P701" s="720"/>
      <c r="Q701" s="720"/>
      <c r="R701" s="720"/>
      <c r="S701" s="720"/>
      <c r="T701" s="720"/>
      <c r="U701" s="720"/>
      <c r="V701" s="720"/>
      <c r="W701" s="720"/>
      <c r="X701" s="720"/>
      <c r="Y701" s="720"/>
      <c r="Z701" s="720"/>
      <c r="AA701" s="720"/>
      <c r="AB701" s="720"/>
    </row>
    <row r="702" spans="1:28" ht="12.75" customHeight="1">
      <c r="A702" s="902"/>
      <c r="B702" s="903"/>
      <c r="C702" s="720"/>
      <c r="D702" s="720"/>
      <c r="E702" s="720"/>
      <c r="F702" s="720"/>
      <c r="G702" s="906"/>
      <c r="H702" s="720"/>
      <c r="I702" s="720"/>
      <c r="J702" s="720"/>
      <c r="K702" s="907"/>
      <c r="L702" s="720"/>
      <c r="M702" s="720"/>
      <c r="N702" s="720"/>
      <c r="O702" s="720"/>
      <c r="P702" s="720"/>
      <c r="Q702" s="720"/>
      <c r="R702" s="720"/>
      <c r="S702" s="720"/>
      <c r="T702" s="720"/>
      <c r="U702" s="720"/>
      <c r="V702" s="720"/>
      <c r="W702" s="720"/>
      <c r="X702" s="720"/>
      <c r="Y702" s="720"/>
      <c r="Z702" s="720"/>
      <c r="AA702" s="720"/>
      <c r="AB702" s="720"/>
    </row>
    <row r="703" spans="1:28" ht="12.75" customHeight="1">
      <c r="A703" s="902"/>
      <c r="B703" s="903"/>
      <c r="C703" s="720"/>
      <c r="D703" s="720"/>
      <c r="E703" s="720"/>
      <c r="F703" s="720"/>
      <c r="G703" s="906"/>
      <c r="H703" s="720"/>
      <c r="I703" s="720"/>
      <c r="J703" s="720"/>
      <c r="K703" s="907"/>
      <c r="L703" s="720"/>
      <c r="M703" s="720"/>
      <c r="N703" s="720"/>
      <c r="O703" s="720"/>
      <c r="P703" s="720"/>
      <c r="Q703" s="720"/>
      <c r="R703" s="720"/>
      <c r="S703" s="720"/>
      <c r="T703" s="720"/>
      <c r="U703" s="720"/>
      <c r="V703" s="720"/>
      <c r="W703" s="720"/>
      <c r="X703" s="720"/>
      <c r="Y703" s="720"/>
      <c r="Z703" s="720"/>
      <c r="AA703" s="720"/>
      <c r="AB703" s="720"/>
    </row>
    <row r="704" spans="1:28" ht="12.75" customHeight="1">
      <c r="A704" s="902"/>
      <c r="B704" s="903"/>
      <c r="C704" s="720"/>
      <c r="D704" s="720"/>
      <c r="E704" s="720"/>
      <c r="F704" s="720"/>
      <c r="G704" s="906"/>
      <c r="H704" s="720"/>
      <c r="I704" s="720"/>
      <c r="J704" s="720"/>
      <c r="K704" s="907"/>
      <c r="L704" s="720"/>
      <c r="M704" s="720"/>
      <c r="N704" s="720"/>
      <c r="O704" s="720"/>
      <c r="P704" s="720"/>
      <c r="Q704" s="720"/>
      <c r="R704" s="720"/>
      <c r="S704" s="720"/>
      <c r="T704" s="720"/>
      <c r="U704" s="720"/>
      <c r="V704" s="720"/>
      <c r="W704" s="720"/>
      <c r="X704" s="720"/>
      <c r="Y704" s="720"/>
      <c r="Z704" s="720"/>
      <c r="AA704" s="720"/>
      <c r="AB704" s="720"/>
    </row>
    <row r="705" spans="1:28" ht="12.75" customHeight="1">
      <c r="A705" s="902"/>
      <c r="B705" s="903"/>
      <c r="C705" s="720"/>
      <c r="D705" s="720"/>
      <c r="E705" s="720"/>
      <c r="F705" s="720"/>
      <c r="G705" s="906"/>
      <c r="H705" s="720"/>
      <c r="I705" s="720"/>
      <c r="J705" s="720"/>
      <c r="K705" s="907"/>
      <c r="L705" s="720"/>
      <c r="M705" s="720"/>
      <c r="N705" s="720"/>
      <c r="O705" s="720"/>
      <c r="P705" s="720"/>
      <c r="Q705" s="720"/>
      <c r="R705" s="720"/>
      <c r="S705" s="720"/>
      <c r="T705" s="720"/>
      <c r="U705" s="720"/>
      <c r="V705" s="720"/>
      <c r="W705" s="720"/>
      <c r="X705" s="720"/>
      <c r="Y705" s="720"/>
      <c r="Z705" s="720"/>
      <c r="AA705" s="720"/>
      <c r="AB705" s="720"/>
    </row>
    <row r="706" spans="1:28" ht="12.75" customHeight="1">
      <c r="A706" s="902"/>
      <c r="B706" s="903"/>
      <c r="C706" s="720"/>
      <c r="D706" s="720"/>
      <c r="E706" s="720"/>
      <c r="F706" s="720"/>
      <c r="G706" s="906"/>
      <c r="H706" s="720"/>
      <c r="I706" s="720"/>
      <c r="J706" s="720"/>
      <c r="K706" s="907"/>
      <c r="L706" s="720"/>
      <c r="M706" s="720"/>
      <c r="N706" s="720"/>
      <c r="O706" s="720"/>
      <c r="P706" s="720"/>
      <c r="Q706" s="720"/>
      <c r="R706" s="720"/>
      <c r="S706" s="720"/>
      <c r="T706" s="720"/>
      <c r="U706" s="720"/>
      <c r="V706" s="720"/>
      <c r="W706" s="720"/>
      <c r="X706" s="720"/>
      <c r="Y706" s="720"/>
      <c r="Z706" s="720"/>
      <c r="AA706" s="720"/>
      <c r="AB706" s="720"/>
    </row>
    <row r="707" spans="1:28" ht="12.75" customHeight="1">
      <c r="A707" s="902"/>
      <c r="B707" s="903"/>
      <c r="C707" s="720"/>
      <c r="D707" s="720"/>
      <c r="E707" s="720"/>
      <c r="F707" s="720"/>
      <c r="G707" s="906"/>
      <c r="H707" s="720"/>
      <c r="I707" s="720"/>
      <c r="J707" s="720"/>
      <c r="K707" s="907"/>
      <c r="L707" s="720"/>
      <c r="M707" s="720"/>
      <c r="N707" s="720"/>
      <c r="O707" s="720"/>
      <c r="P707" s="720"/>
      <c r="Q707" s="720"/>
      <c r="R707" s="720"/>
      <c r="S707" s="720"/>
      <c r="T707" s="720"/>
      <c r="U707" s="720"/>
      <c r="V707" s="720"/>
      <c r="W707" s="720"/>
      <c r="X707" s="720"/>
      <c r="Y707" s="720"/>
      <c r="Z707" s="720"/>
      <c r="AA707" s="720"/>
      <c r="AB707" s="720"/>
    </row>
    <row r="708" spans="1:28" ht="12.75" customHeight="1">
      <c r="A708" s="902"/>
      <c r="B708" s="903"/>
      <c r="C708" s="720"/>
      <c r="D708" s="720"/>
      <c r="E708" s="720"/>
      <c r="F708" s="720"/>
      <c r="G708" s="906"/>
      <c r="H708" s="720"/>
      <c r="I708" s="720"/>
      <c r="J708" s="720"/>
      <c r="K708" s="907"/>
      <c r="L708" s="720"/>
      <c r="M708" s="720"/>
      <c r="N708" s="720"/>
      <c r="O708" s="720"/>
      <c r="P708" s="720"/>
      <c r="Q708" s="720"/>
      <c r="R708" s="720"/>
      <c r="S708" s="720"/>
      <c r="T708" s="720"/>
      <c r="U708" s="720"/>
      <c r="V708" s="720"/>
      <c r="W708" s="720"/>
      <c r="X708" s="720"/>
      <c r="Y708" s="720"/>
      <c r="Z708" s="720"/>
      <c r="AA708" s="720"/>
      <c r="AB708" s="720"/>
    </row>
    <row r="709" spans="1:28" ht="12.75" customHeight="1">
      <c r="A709" s="902"/>
      <c r="B709" s="903"/>
      <c r="C709" s="720"/>
      <c r="D709" s="720"/>
      <c r="E709" s="720"/>
      <c r="F709" s="720"/>
      <c r="G709" s="906"/>
      <c r="H709" s="720"/>
      <c r="I709" s="720"/>
      <c r="J709" s="720"/>
      <c r="K709" s="907"/>
      <c r="L709" s="720"/>
      <c r="M709" s="720"/>
      <c r="N709" s="720"/>
      <c r="O709" s="720"/>
      <c r="P709" s="720"/>
      <c r="Q709" s="720"/>
      <c r="R709" s="720"/>
      <c r="S709" s="720"/>
      <c r="T709" s="720"/>
      <c r="U709" s="720"/>
      <c r="V709" s="720"/>
      <c r="W709" s="720"/>
      <c r="X709" s="720"/>
      <c r="Y709" s="720"/>
      <c r="Z709" s="720"/>
      <c r="AA709" s="720"/>
      <c r="AB709" s="720"/>
    </row>
    <row r="710" spans="1:28" ht="12.75" customHeight="1">
      <c r="A710" s="902"/>
      <c r="B710" s="903"/>
      <c r="C710" s="720"/>
      <c r="D710" s="720"/>
      <c r="E710" s="720"/>
      <c r="F710" s="720"/>
      <c r="G710" s="906"/>
      <c r="H710" s="720"/>
      <c r="I710" s="720"/>
      <c r="J710" s="720"/>
      <c r="K710" s="907"/>
      <c r="L710" s="720"/>
      <c r="M710" s="720"/>
      <c r="N710" s="720"/>
      <c r="O710" s="720"/>
      <c r="P710" s="720"/>
      <c r="Q710" s="720"/>
      <c r="R710" s="720"/>
      <c r="S710" s="720"/>
      <c r="T710" s="720"/>
      <c r="U710" s="720"/>
      <c r="V710" s="720"/>
      <c r="W710" s="720"/>
      <c r="X710" s="720"/>
      <c r="Y710" s="720"/>
      <c r="Z710" s="720"/>
      <c r="AA710" s="720"/>
      <c r="AB710" s="720"/>
    </row>
    <row r="711" spans="1:28" ht="12.75" customHeight="1">
      <c r="A711" s="902"/>
      <c r="B711" s="903"/>
      <c r="C711" s="720"/>
      <c r="D711" s="720"/>
      <c r="E711" s="720"/>
      <c r="F711" s="720"/>
      <c r="G711" s="906"/>
      <c r="H711" s="720"/>
      <c r="I711" s="720"/>
      <c r="J711" s="720"/>
      <c r="K711" s="907"/>
      <c r="L711" s="720"/>
      <c r="M711" s="720"/>
      <c r="N711" s="720"/>
      <c r="O711" s="720"/>
      <c r="P711" s="720"/>
      <c r="Q711" s="720"/>
      <c r="R711" s="720"/>
      <c r="S711" s="720"/>
      <c r="T711" s="720"/>
      <c r="U711" s="720"/>
      <c r="V711" s="720"/>
      <c r="W711" s="720"/>
      <c r="X711" s="720"/>
      <c r="Y711" s="720"/>
      <c r="Z711" s="720"/>
      <c r="AA711" s="720"/>
      <c r="AB711" s="720"/>
    </row>
    <row r="712" spans="1:28" ht="12.75" customHeight="1">
      <c r="A712" s="902"/>
      <c r="B712" s="903"/>
      <c r="C712" s="720"/>
      <c r="D712" s="720"/>
      <c r="E712" s="720"/>
      <c r="F712" s="720"/>
      <c r="G712" s="906"/>
      <c r="H712" s="720"/>
      <c r="I712" s="720"/>
      <c r="J712" s="720"/>
      <c r="K712" s="907"/>
      <c r="L712" s="720"/>
      <c r="M712" s="720"/>
      <c r="N712" s="720"/>
      <c r="O712" s="720"/>
      <c r="P712" s="720"/>
      <c r="Q712" s="720"/>
      <c r="R712" s="720"/>
      <c r="S712" s="720"/>
      <c r="T712" s="720"/>
      <c r="U712" s="720"/>
      <c r="V712" s="720"/>
      <c r="W712" s="720"/>
      <c r="X712" s="720"/>
      <c r="Y712" s="720"/>
      <c r="Z712" s="720"/>
      <c r="AA712" s="720"/>
      <c r="AB712" s="720"/>
    </row>
    <row r="713" spans="1:28" ht="12.75" customHeight="1">
      <c r="A713" s="902"/>
      <c r="B713" s="903"/>
      <c r="C713" s="720"/>
      <c r="D713" s="720"/>
      <c r="E713" s="720"/>
      <c r="F713" s="720"/>
      <c r="G713" s="906"/>
      <c r="H713" s="720"/>
      <c r="I713" s="720"/>
      <c r="J713" s="720"/>
      <c r="K713" s="907"/>
      <c r="L713" s="720"/>
      <c r="M713" s="720"/>
      <c r="N713" s="720"/>
      <c r="O713" s="720"/>
      <c r="P713" s="720"/>
      <c r="Q713" s="720"/>
      <c r="R713" s="720"/>
      <c r="S713" s="720"/>
      <c r="T713" s="720"/>
      <c r="U713" s="720"/>
      <c r="V713" s="720"/>
      <c r="W713" s="720"/>
      <c r="X713" s="720"/>
      <c r="Y713" s="720"/>
      <c r="Z713" s="720"/>
      <c r="AA713" s="720"/>
      <c r="AB713" s="720"/>
    </row>
    <row r="714" spans="1:28" ht="12.75" customHeight="1">
      <c r="A714" s="902"/>
      <c r="B714" s="903"/>
      <c r="C714" s="720"/>
      <c r="D714" s="720"/>
      <c r="E714" s="720"/>
      <c r="F714" s="720"/>
      <c r="G714" s="906"/>
      <c r="H714" s="720"/>
      <c r="I714" s="720"/>
      <c r="J714" s="720"/>
      <c r="K714" s="907"/>
      <c r="L714" s="720"/>
      <c r="M714" s="720"/>
      <c r="N714" s="720"/>
      <c r="O714" s="720"/>
      <c r="P714" s="720"/>
      <c r="Q714" s="720"/>
      <c r="R714" s="720"/>
      <c r="S714" s="720"/>
      <c r="T714" s="720"/>
      <c r="U714" s="720"/>
      <c r="V714" s="720"/>
      <c r="W714" s="720"/>
      <c r="X714" s="720"/>
      <c r="Y714" s="720"/>
      <c r="Z714" s="720"/>
      <c r="AA714" s="720"/>
      <c r="AB714" s="720"/>
    </row>
    <row r="715" spans="1:28" ht="12.75" customHeight="1">
      <c r="A715" s="902"/>
      <c r="B715" s="903"/>
      <c r="C715" s="720"/>
      <c r="D715" s="720"/>
      <c r="E715" s="720"/>
      <c r="F715" s="720"/>
      <c r="G715" s="906"/>
      <c r="H715" s="720"/>
      <c r="I715" s="720"/>
      <c r="J715" s="720"/>
      <c r="K715" s="907"/>
      <c r="L715" s="720"/>
      <c r="M715" s="720"/>
      <c r="N715" s="720"/>
      <c r="O715" s="720"/>
      <c r="P715" s="720"/>
      <c r="Q715" s="720"/>
      <c r="R715" s="720"/>
      <c r="S715" s="720"/>
      <c r="T715" s="720"/>
      <c r="U715" s="720"/>
      <c r="V715" s="720"/>
      <c r="W715" s="720"/>
      <c r="X715" s="720"/>
      <c r="Y715" s="720"/>
      <c r="Z715" s="720"/>
      <c r="AA715" s="720"/>
      <c r="AB715" s="720"/>
    </row>
    <row r="716" spans="1:28" ht="12.75" customHeight="1">
      <c r="A716" s="902"/>
      <c r="B716" s="903"/>
      <c r="C716" s="720"/>
      <c r="D716" s="720"/>
      <c r="E716" s="720"/>
      <c r="F716" s="720"/>
      <c r="G716" s="906"/>
      <c r="H716" s="720"/>
      <c r="I716" s="720"/>
      <c r="J716" s="720"/>
      <c r="K716" s="907"/>
      <c r="L716" s="720"/>
      <c r="M716" s="720"/>
      <c r="N716" s="720"/>
      <c r="O716" s="720"/>
      <c r="P716" s="720"/>
      <c r="Q716" s="720"/>
      <c r="R716" s="720"/>
      <c r="S716" s="720"/>
      <c r="T716" s="720"/>
      <c r="U716" s="720"/>
      <c r="V716" s="720"/>
      <c r="W716" s="720"/>
      <c r="X716" s="720"/>
      <c r="Y716" s="720"/>
      <c r="Z716" s="720"/>
      <c r="AA716" s="720"/>
      <c r="AB716" s="720"/>
    </row>
    <row r="717" spans="1:28" ht="12.75" customHeight="1">
      <c r="A717" s="902"/>
      <c r="B717" s="903"/>
      <c r="C717" s="720"/>
      <c r="D717" s="720"/>
      <c r="E717" s="720"/>
      <c r="F717" s="720"/>
      <c r="G717" s="906"/>
      <c r="H717" s="720"/>
      <c r="I717" s="720"/>
      <c r="J717" s="720"/>
      <c r="K717" s="907"/>
      <c r="L717" s="720"/>
      <c r="M717" s="720"/>
      <c r="N717" s="720"/>
      <c r="O717" s="720"/>
      <c r="P717" s="720"/>
      <c r="Q717" s="720"/>
      <c r="R717" s="720"/>
      <c r="S717" s="720"/>
      <c r="T717" s="720"/>
      <c r="U717" s="720"/>
      <c r="V717" s="720"/>
      <c r="W717" s="720"/>
      <c r="X717" s="720"/>
      <c r="Y717" s="720"/>
      <c r="Z717" s="720"/>
      <c r="AA717" s="720"/>
      <c r="AB717" s="720"/>
    </row>
    <row r="718" spans="1:28" ht="12.75" customHeight="1">
      <c r="A718" s="902"/>
      <c r="B718" s="903"/>
      <c r="C718" s="720"/>
      <c r="D718" s="720"/>
      <c r="E718" s="720"/>
      <c r="F718" s="720"/>
      <c r="G718" s="906"/>
      <c r="H718" s="720"/>
      <c r="I718" s="720"/>
      <c r="J718" s="720"/>
      <c r="K718" s="907"/>
      <c r="L718" s="720"/>
      <c r="M718" s="720"/>
      <c r="N718" s="720"/>
      <c r="O718" s="720"/>
      <c r="P718" s="720"/>
      <c r="Q718" s="720"/>
      <c r="R718" s="720"/>
      <c r="S718" s="720"/>
      <c r="T718" s="720"/>
      <c r="U718" s="720"/>
      <c r="V718" s="720"/>
      <c r="W718" s="720"/>
      <c r="X718" s="720"/>
      <c r="Y718" s="720"/>
      <c r="Z718" s="720"/>
      <c r="AA718" s="720"/>
      <c r="AB718" s="720"/>
    </row>
    <row r="719" spans="1:28" ht="12.75" customHeight="1">
      <c r="A719" s="902"/>
      <c r="B719" s="903"/>
      <c r="C719" s="720"/>
      <c r="D719" s="720"/>
      <c r="E719" s="720"/>
      <c r="F719" s="720"/>
      <c r="G719" s="906"/>
      <c r="H719" s="720"/>
      <c r="I719" s="720"/>
      <c r="J719" s="720"/>
      <c r="K719" s="907"/>
      <c r="L719" s="720"/>
      <c r="M719" s="720"/>
      <c r="N719" s="720"/>
      <c r="O719" s="720"/>
      <c r="P719" s="720"/>
      <c r="Q719" s="720"/>
      <c r="R719" s="720"/>
      <c r="S719" s="720"/>
      <c r="T719" s="720"/>
      <c r="U719" s="720"/>
      <c r="V719" s="720"/>
      <c r="W719" s="720"/>
      <c r="X719" s="720"/>
      <c r="Y719" s="720"/>
      <c r="Z719" s="720"/>
      <c r="AA719" s="720"/>
      <c r="AB719" s="720"/>
    </row>
    <row r="720" spans="1:28" ht="12.75" customHeight="1">
      <c r="A720" s="902"/>
      <c r="B720" s="903"/>
      <c r="C720" s="720"/>
      <c r="D720" s="720"/>
      <c r="E720" s="720"/>
      <c r="F720" s="720"/>
      <c r="G720" s="906"/>
      <c r="H720" s="720"/>
      <c r="I720" s="720"/>
      <c r="J720" s="720"/>
      <c r="K720" s="907"/>
      <c r="L720" s="720"/>
      <c r="M720" s="720"/>
      <c r="N720" s="720"/>
      <c r="O720" s="720"/>
      <c r="P720" s="720"/>
      <c r="Q720" s="720"/>
      <c r="R720" s="720"/>
      <c r="S720" s="720"/>
      <c r="T720" s="720"/>
      <c r="U720" s="720"/>
      <c r="V720" s="720"/>
      <c r="W720" s="720"/>
      <c r="X720" s="720"/>
      <c r="Y720" s="720"/>
      <c r="Z720" s="720"/>
      <c r="AA720" s="720"/>
      <c r="AB720" s="720"/>
    </row>
    <row r="721" spans="1:28" ht="12.75" customHeight="1">
      <c r="A721" s="902"/>
      <c r="B721" s="903"/>
      <c r="C721" s="720"/>
      <c r="D721" s="720"/>
      <c r="E721" s="720"/>
      <c r="F721" s="720"/>
      <c r="G721" s="906"/>
      <c r="H721" s="720"/>
      <c r="I721" s="720"/>
      <c r="J721" s="720"/>
      <c r="K721" s="907"/>
      <c r="L721" s="720"/>
      <c r="M721" s="720"/>
      <c r="N721" s="720"/>
      <c r="O721" s="720"/>
      <c r="P721" s="720"/>
      <c r="Q721" s="720"/>
      <c r="R721" s="720"/>
      <c r="S721" s="720"/>
      <c r="T721" s="720"/>
      <c r="U721" s="720"/>
      <c r="V721" s="720"/>
      <c r="W721" s="720"/>
      <c r="X721" s="720"/>
      <c r="Y721" s="720"/>
      <c r="Z721" s="720"/>
      <c r="AA721" s="720"/>
      <c r="AB721" s="720"/>
    </row>
    <row r="722" spans="1:28" ht="12.75" customHeight="1">
      <c r="A722" s="902"/>
      <c r="B722" s="903"/>
      <c r="C722" s="720"/>
      <c r="D722" s="720"/>
      <c r="E722" s="720"/>
      <c r="F722" s="720"/>
      <c r="G722" s="906"/>
      <c r="H722" s="720"/>
      <c r="I722" s="720"/>
      <c r="J722" s="720"/>
      <c r="K722" s="907"/>
      <c r="L722" s="720"/>
      <c r="M722" s="720"/>
      <c r="N722" s="720"/>
      <c r="O722" s="720"/>
      <c r="P722" s="720"/>
      <c r="Q722" s="720"/>
      <c r="R722" s="720"/>
      <c r="S722" s="720"/>
      <c r="T722" s="720"/>
      <c r="U722" s="720"/>
      <c r="V722" s="720"/>
      <c r="W722" s="720"/>
      <c r="X722" s="720"/>
      <c r="Y722" s="720"/>
      <c r="Z722" s="720"/>
      <c r="AA722" s="720"/>
      <c r="AB722" s="720"/>
    </row>
    <row r="723" spans="1:28" ht="12.75" customHeight="1">
      <c r="A723" s="902"/>
      <c r="B723" s="903"/>
      <c r="C723" s="720"/>
      <c r="D723" s="720"/>
      <c r="E723" s="720"/>
      <c r="F723" s="720"/>
      <c r="G723" s="906"/>
      <c r="H723" s="720"/>
      <c r="I723" s="720"/>
      <c r="J723" s="720"/>
      <c r="K723" s="907"/>
      <c r="L723" s="720"/>
      <c r="M723" s="720"/>
      <c r="N723" s="720"/>
      <c r="O723" s="720"/>
      <c r="P723" s="720"/>
      <c r="Q723" s="720"/>
      <c r="R723" s="720"/>
      <c r="S723" s="720"/>
      <c r="T723" s="720"/>
      <c r="U723" s="720"/>
      <c r="V723" s="720"/>
      <c r="W723" s="720"/>
      <c r="X723" s="720"/>
      <c r="Y723" s="720"/>
      <c r="Z723" s="720"/>
      <c r="AA723" s="720"/>
      <c r="AB723" s="720"/>
    </row>
    <row r="724" spans="1:28" ht="12.75" customHeight="1">
      <c r="A724" s="902"/>
      <c r="B724" s="903"/>
      <c r="C724" s="720"/>
      <c r="D724" s="720"/>
      <c r="E724" s="720"/>
      <c r="F724" s="720"/>
      <c r="G724" s="906"/>
      <c r="H724" s="720"/>
      <c r="I724" s="720"/>
      <c r="J724" s="720"/>
      <c r="K724" s="907"/>
      <c r="L724" s="720"/>
      <c r="M724" s="720"/>
      <c r="N724" s="720"/>
      <c r="O724" s="720"/>
      <c r="P724" s="720"/>
      <c r="Q724" s="720"/>
      <c r="R724" s="720"/>
      <c r="S724" s="720"/>
      <c r="T724" s="720"/>
      <c r="U724" s="720"/>
      <c r="V724" s="720"/>
      <c r="W724" s="720"/>
      <c r="X724" s="720"/>
      <c r="Y724" s="720"/>
      <c r="Z724" s="720"/>
      <c r="AA724" s="720"/>
      <c r="AB724" s="720"/>
    </row>
    <row r="725" spans="1:28" ht="12.75" customHeight="1">
      <c r="A725" s="902"/>
      <c r="B725" s="903"/>
      <c r="C725" s="720"/>
      <c r="D725" s="720"/>
      <c r="E725" s="720"/>
      <c r="F725" s="720"/>
      <c r="G725" s="906"/>
      <c r="H725" s="720"/>
      <c r="I725" s="720"/>
      <c r="J725" s="720"/>
      <c r="K725" s="907"/>
      <c r="L725" s="720"/>
      <c r="M725" s="720"/>
      <c r="N725" s="720"/>
      <c r="O725" s="720"/>
      <c r="P725" s="720"/>
      <c r="Q725" s="720"/>
      <c r="R725" s="720"/>
      <c r="S725" s="720"/>
      <c r="T725" s="720"/>
      <c r="U725" s="720"/>
      <c r="V725" s="720"/>
      <c r="W725" s="720"/>
      <c r="X725" s="720"/>
      <c r="Y725" s="720"/>
      <c r="Z725" s="720"/>
      <c r="AA725" s="720"/>
      <c r="AB725" s="720"/>
    </row>
    <row r="726" spans="1:28" ht="12.75" customHeight="1">
      <c r="A726" s="902"/>
      <c r="B726" s="903"/>
      <c r="C726" s="720"/>
      <c r="D726" s="720"/>
      <c r="E726" s="720"/>
      <c r="F726" s="720"/>
      <c r="G726" s="906"/>
      <c r="H726" s="720"/>
      <c r="I726" s="720"/>
      <c r="J726" s="720"/>
      <c r="K726" s="907"/>
      <c r="L726" s="720"/>
      <c r="M726" s="720"/>
      <c r="N726" s="720"/>
      <c r="O726" s="720"/>
      <c r="P726" s="720"/>
      <c r="Q726" s="720"/>
      <c r="R726" s="720"/>
      <c r="S726" s="720"/>
      <c r="T726" s="720"/>
      <c r="U726" s="720"/>
      <c r="V726" s="720"/>
      <c r="W726" s="720"/>
      <c r="X726" s="720"/>
      <c r="Y726" s="720"/>
      <c r="Z726" s="720"/>
      <c r="AA726" s="720"/>
      <c r="AB726" s="720"/>
    </row>
    <row r="727" spans="1:28" ht="12.75" customHeight="1">
      <c r="A727" s="902"/>
      <c r="B727" s="903"/>
      <c r="C727" s="720"/>
      <c r="D727" s="720"/>
      <c r="E727" s="720"/>
      <c r="F727" s="720"/>
      <c r="G727" s="906"/>
      <c r="H727" s="720"/>
      <c r="I727" s="720"/>
      <c r="J727" s="720"/>
      <c r="K727" s="907"/>
      <c r="L727" s="720"/>
      <c r="M727" s="720"/>
      <c r="N727" s="720"/>
      <c r="O727" s="720"/>
      <c r="P727" s="720"/>
      <c r="Q727" s="720"/>
      <c r="R727" s="720"/>
      <c r="S727" s="720"/>
      <c r="T727" s="720"/>
      <c r="U727" s="720"/>
      <c r="V727" s="720"/>
      <c r="W727" s="720"/>
      <c r="X727" s="720"/>
      <c r="Y727" s="720"/>
      <c r="Z727" s="720"/>
      <c r="AA727" s="720"/>
      <c r="AB727" s="720"/>
    </row>
    <row r="728" spans="1:28" ht="12.75" customHeight="1">
      <c r="A728" s="902"/>
      <c r="B728" s="903"/>
      <c r="C728" s="720"/>
      <c r="D728" s="720"/>
      <c r="E728" s="720"/>
      <c r="F728" s="720"/>
      <c r="G728" s="906"/>
      <c r="H728" s="720"/>
      <c r="I728" s="720"/>
      <c r="J728" s="720"/>
      <c r="K728" s="907"/>
      <c r="L728" s="720"/>
      <c r="M728" s="720"/>
      <c r="N728" s="720"/>
      <c r="O728" s="720"/>
      <c r="P728" s="720"/>
      <c r="Q728" s="720"/>
      <c r="R728" s="720"/>
      <c r="S728" s="720"/>
      <c r="T728" s="720"/>
      <c r="U728" s="720"/>
      <c r="V728" s="720"/>
      <c r="W728" s="720"/>
      <c r="X728" s="720"/>
      <c r="Y728" s="720"/>
      <c r="Z728" s="720"/>
      <c r="AA728" s="720"/>
      <c r="AB728" s="720"/>
    </row>
    <row r="729" spans="1:28" ht="12.75" customHeight="1">
      <c r="A729" s="902"/>
      <c r="B729" s="903"/>
      <c r="C729" s="720"/>
      <c r="D729" s="720"/>
      <c r="E729" s="720"/>
      <c r="F729" s="720"/>
      <c r="G729" s="906"/>
      <c r="H729" s="720"/>
      <c r="I729" s="720"/>
      <c r="J729" s="720"/>
      <c r="K729" s="907"/>
      <c r="L729" s="720"/>
      <c r="M729" s="720"/>
      <c r="N729" s="720"/>
      <c r="O729" s="720"/>
      <c r="P729" s="720"/>
      <c r="Q729" s="720"/>
      <c r="R729" s="720"/>
      <c r="S729" s="720"/>
      <c r="T729" s="720"/>
      <c r="U729" s="720"/>
      <c r="V729" s="720"/>
      <c r="W729" s="720"/>
      <c r="X729" s="720"/>
      <c r="Y729" s="720"/>
      <c r="Z729" s="720"/>
      <c r="AA729" s="720"/>
      <c r="AB729" s="720"/>
    </row>
    <row r="730" spans="1:28" ht="12.75" customHeight="1">
      <c r="A730" s="902"/>
      <c r="B730" s="903"/>
      <c r="C730" s="720"/>
      <c r="D730" s="720"/>
      <c r="E730" s="720"/>
      <c r="F730" s="720"/>
      <c r="G730" s="906"/>
      <c r="H730" s="720"/>
      <c r="I730" s="720"/>
      <c r="J730" s="720"/>
      <c r="K730" s="907"/>
      <c r="L730" s="720"/>
      <c r="M730" s="720"/>
      <c r="N730" s="720"/>
      <c r="O730" s="720"/>
      <c r="P730" s="720"/>
      <c r="Q730" s="720"/>
      <c r="R730" s="720"/>
      <c r="S730" s="720"/>
      <c r="T730" s="720"/>
      <c r="U730" s="720"/>
      <c r="V730" s="720"/>
      <c r="W730" s="720"/>
      <c r="X730" s="720"/>
      <c r="Y730" s="720"/>
      <c r="Z730" s="720"/>
      <c r="AA730" s="720"/>
      <c r="AB730" s="720"/>
    </row>
    <row r="731" spans="1:28" ht="12.75" customHeight="1">
      <c r="A731" s="902"/>
      <c r="B731" s="903"/>
      <c r="C731" s="720"/>
      <c r="D731" s="720"/>
      <c r="E731" s="720"/>
      <c r="F731" s="720"/>
      <c r="G731" s="906"/>
      <c r="H731" s="720"/>
      <c r="I731" s="720"/>
      <c r="J731" s="720"/>
      <c r="K731" s="907"/>
      <c r="L731" s="720"/>
      <c r="M731" s="720"/>
      <c r="N731" s="720"/>
      <c r="O731" s="720"/>
      <c r="P731" s="720"/>
      <c r="Q731" s="720"/>
      <c r="R731" s="720"/>
      <c r="S731" s="720"/>
      <c r="T731" s="720"/>
      <c r="U731" s="720"/>
      <c r="V731" s="720"/>
      <c r="W731" s="720"/>
      <c r="X731" s="720"/>
      <c r="Y731" s="720"/>
      <c r="Z731" s="720"/>
      <c r="AA731" s="720"/>
      <c r="AB731" s="720"/>
    </row>
    <row r="732" spans="1:28" ht="12.75" customHeight="1">
      <c r="A732" s="902"/>
      <c r="B732" s="903"/>
      <c r="C732" s="720"/>
      <c r="D732" s="720"/>
      <c r="E732" s="720"/>
      <c r="F732" s="720"/>
      <c r="G732" s="906"/>
      <c r="H732" s="720"/>
      <c r="I732" s="720"/>
      <c r="J732" s="720"/>
      <c r="K732" s="907"/>
      <c r="L732" s="720"/>
      <c r="M732" s="720"/>
      <c r="N732" s="720"/>
      <c r="O732" s="720"/>
      <c r="P732" s="720"/>
      <c r="Q732" s="720"/>
      <c r="R732" s="720"/>
      <c r="S732" s="720"/>
      <c r="T732" s="720"/>
      <c r="U732" s="720"/>
      <c r="V732" s="720"/>
      <c r="W732" s="720"/>
      <c r="X732" s="720"/>
      <c r="Y732" s="720"/>
      <c r="Z732" s="720"/>
      <c r="AA732" s="720"/>
      <c r="AB732" s="720"/>
    </row>
    <row r="733" spans="1:28" ht="12.75" customHeight="1">
      <c r="A733" s="902"/>
      <c r="B733" s="903"/>
      <c r="C733" s="720"/>
      <c r="D733" s="720"/>
      <c r="E733" s="720"/>
      <c r="F733" s="720"/>
      <c r="G733" s="906"/>
      <c r="H733" s="720"/>
      <c r="I733" s="720"/>
      <c r="J733" s="720"/>
      <c r="K733" s="907"/>
      <c r="L733" s="720"/>
      <c r="M733" s="720"/>
      <c r="N733" s="720"/>
      <c r="O733" s="720"/>
      <c r="P733" s="720"/>
      <c r="Q733" s="720"/>
      <c r="R733" s="720"/>
      <c r="S733" s="720"/>
      <c r="T733" s="720"/>
      <c r="U733" s="720"/>
      <c r="V733" s="720"/>
      <c r="W733" s="720"/>
      <c r="X733" s="720"/>
      <c r="Y733" s="720"/>
      <c r="Z733" s="720"/>
      <c r="AA733" s="720"/>
      <c r="AB733" s="720"/>
    </row>
    <row r="734" spans="1:28" ht="12.75" customHeight="1">
      <c r="A734" s="902"/>
      <c r="B734" s="903"/>
      <c r="C734" s="720"/>
      <c r="D734" s="720"/>
      <c r="E734" s="720"/>
      <c r="F734" s="720"/>
      <c r="G734" s="906"/>
      <c r="H734" s="720"/>
      <c r="I734" s="720"/>
      <c r="J734" s="720"/>
      <c r="K734" s="907"/>
      <c r="L734" s="720"/>
      <c r="M734" s="720"/>
      <c r="N734" s="720"/>
      <c r="O734" s="720"/>
      <c r="P734" s="720"/>
      <c r="Q734" s="720"/>
      <c r="R734" s="720"/>
      <c r="S734" s="720"/>
      <c r="T734" s="720"/>
      <c r="U734" s="720"/>
      <c r="V734" s="720"/>
      <c r="W734" s="720"/>
      <c r="X734" s="720"/>
      <c r="Y734" s="720"/>
      <c r="Z734" s="720"/>
      <c r="AA734" s="720"/>
      <c r="AB734" s="720"/>
    </row>
    <row r="735" spans="1:28" ht="12.75" customHeight="1">
      <c r="A735" s="902"/>
      <c r="B735" s="903"/>
      <c r="C735" s="720"/>
      <c r="D735" s="720"/>
      <c r="E735" s="720"/>
      <c r="F735" s="720"/>
      <c r="G735" s="906"/>
      <c r="H735" s="720"/>
      <c r="I735" s="720"/>
      <c r="J735" s="720"/>
      <c r="K735" s="907"/>
      <c r="L735" s="720"/>
      <c r="M735" s="720"/>
      <c r="N735" s="720"/>
      <c r="O735" s="720"/>
      <c r="P735" s="720"/>
      <c r="Q735" s="720"/>
      <c r="R735" s="720"/>
      <c r="S735" s="720"/>
      <c r="T735" s="720"/>
      <c r="U735" s="720"/>
      <c r="V735" s="720"/>
      <c r="W735" s="720"/>
      <c r="X735" s="720"/>
      <c r="Y735" s="720"/>
      <c r="Z735" s="720"/>
      <c r="AA735" s="720"/>
      <c r="AB735" s="720"/>
    </row>
    <row r="736" spans="1:28" ht="12.75" customHeight="1">
      <c r="A736" s="902"/>
      <c r="B736" s="903"/>
      <c r="C736" s="720"/>
      <c r="D736" s="720"/>
      <c r="E736" s="720"/>
      <c r="F736" s="720"/>
      <c r="G736" s="906"/>
      <c r="H736" s="720"/>
      <c r="I736" s="720"/>
      <c r="J736" s="720"/>
      <c r="K736" s="907"/>
      <c r="L736" s="720"/>
      <c r="M736" s="720"/>
      <c r="N736" s="720"/>
      <c r="O736" s="720"/>
      <c r="P736" s="720"/>
      <c r="Q736" s="720"/>
      <c r="R736" s="720"/>
      <c r="S736" s="720"/>
      <c r="T736" s="720"/>
      <c r="U736" s="720"/>
      <c r="V736" s="720"/>
      <c r="W736" s="720"/>
      <c r="X736" s="720"/>
      <c r="Y736" s="720"/>
      <c r="Z736" s="720"/>
      <c r="AA736" s="720"/>
      <c r="AB736" s="720"/>
    </row>
    <row r="737" spans="1:28" ht="12.75" customHeight="1">
      <c r="A737" s="902"/>
      <c r="B737" s="903"/>
      <c r="C737" s="720"/>
      <c r="D737" s="720"/>
      <c r="E737" s="720"/>
      <c r="F737" s="720"/>
      <c r="G737" s="906"/>
      <c r="H737" s="720"/>
      <c r="I737" s="720"/>
      <c r="J737" s="720"/>
      <c r="K737" s="907"/>
      <c r="L737" s="720"/>
      <c r="M737" s="720"/>
      <c r="N737" s="720"/>
      <c r="O737" s="720"/>
      <c r="P737" s="720"/>
      <c r="Q737" s="720"/>
      <c r="R737" s="720"/>
      <c r="S737" s="720"/>
      <c r="T737" s="720"/>
      <c r="U737" s="720"/>
      <c r="V737" s="720"/>
      <c r="W737" s="720"/>
      <c r="X737" s="720"/>
      <c r="Y737" s="720"/>
      <c r="Z737" s="720"/>
      <c r="AA737" s="720"/>
      <c r="AB737" s="720"/>
    </row>
    <row r="738" spans="1:28" ht="12.75" customHeight="1">
      <c r="A738" s="902"/>
      <c r="B738" s="903"/>
      <c r="C738" s="720"/>
      <c r="D738" s="720"/>
      <c r="E738" s="720"/>
      <c r="F738" s="720"/>
      <c r="G738" s="906"/>
      <c r="H738" s="720"/>
      <c r="I738" s="720"/>
      <c r="J738" s="720"/>
      <c r="K738" s="907"/>
      <c r="L738" s="720"/>
      <c r="M738" s="720"/>
      <c r="N738" s="720"/>
      <c r="O738" s="720"/>
      <c r="P738" s="720"/>
      <c r="Q738" s="720"/>
      <c r="R738" s="720"/>
      <c r="S738" s="720"/>
      <c r="T738" s="720"/>
      <c r="U738" s="720"/>
      <c r="V738" s="720"/>
      <c r="W738" s="720"/>
      <c r="X738" s="720"/>
      <c r="Y738" s="720"/>
      <c r="Z738" s="720"/>
      <c r="AA738" s="720"/>
      <c r="AB738" s="720"/>
    </row>
    <row r="739" spans="1:28" ht="12.75" customHeight="1">
      <c r="A739" s="902"/>
      <c r="B739" s="903"/>
      <c r="C739" s="720"/>
      <c r="D739" s="720"/>
      <c r="E739" s="720"/>
      <c r="F739" s="720"/>
      <c r="G739" s="906"/>
      <c r="H739" s="720"/>
      <c r="I739" s="720"/>
      <c r="J739" s="720"/>
      <c r="K739" s="907"/>
      <c r="L739" s="720"/>
      <c r="M739" s="720"/>
      <c r="N739" s="720"/>
      <c r="O739" s="720"/>
      <c r="P739" s="720"/>
      <c r="Q739" s="720"/>
      <c r="R739" s="720"/>
      <c r="S739" s="720"/>
      <c r="T739" s="720"/>
      <c r="U739" s="720"/>
      <c r="V739" s="720"/>
      <c r="W739" s="720"/>
      <c r="X739" s="720"/>
      <c r="Y739" s="720"/>
      <c r="Z739" s="720"/>
      <c r="AA739" s="720"/>
      <c r="AB739" s="720"/>
    </row>
    <row r="740" spans="1:28" ht="12.75" customHeight="1">
      <c r="A740" s="902"/>
      <c r="B740" s="903"/>
      <c r="C740" s="720"/>
      <c r="D740" s="720"/>
      <c r="E740" s="720"/>
      <c r="F740" s="720"/>
      <c r="G740" s="906"/>
      <c r="H740" s="720"/>
      <c r="I740" s="720"/>
      <c r="J740" s="720"/>
      <c r="K740" s="907"/>
      <c r="L740" s="720"/>
      <c r="M740" s="720"/>
      <c r="N740" s="720"/>
      <c r="O740" s="720"/>
      <c r="P740" s="720"/>
      <c r="Q740" s="720"/>
      <c r="R740" s="720"/>
      <c r="S740" s="720"/>
      <c r="T740" s="720"/>
      <c r="U740" s="720"/>
      <c r="V740" s="720"/>
      <c r="W740" s="720"/>
      <c r="X740" s="720"/>
      <c r="Y740" s="720"/>
      <c r="Z740" s="720"/>
      <c r="AA740" s="720"/>
      <c r="AB740" s="720"/>
    </row>
    <row r="741" spans="1:28" ht="12.75" customHeight="1">
      <c r="A741" s="902"/>
      <c r="B741" s="903"/>
      <c r="C741" s="720"/>
      <c r="D741" s="720"/>
      <c r="E741" s="720"/>
      <c r="F741" s="720"/>
      <c r="G741" s="906"/>
      <c r="H741" s="720"/>
      <c r="I741" s="720"/>
      <c r="J741" s="720"/>
      <c r="K741" s="907"/>
      <c r="L741" s="720"/>
      <c r="M741" s="720"/>
      <c r="N741" s="720"/>
      <c r="O741" s="720"/>
      <c r="P741" s="720"/>
      <c r="Q741" s="720"/>
      <c r="R741" s="720"/>
      <c r="S741" s="720"/>
      <c r="T741" s="720"/>
      <c r="U741" s="720"/>
      <c r="V741" s="720"/>
      <c r="W741" s="720"/>
      <c r="X741" s="720"/>
      <c r="Y741" s="720"/>
      <c r="Z741" s="720"/>
      <c r="AA741" s="720"/>
      <c r="AB741" s="720"/>
    </row>
    <row r="742" spans="1:28" ht="12.75" customHeight="1">
      <c r="A742" s="902"/>
      <c r="B742" s="903"/>
      <c r="C742" s="720"/>
      <c r="D742" s="720"/>
      <c r="E742" s="720"/>
      <c r="F742" s="720"/>
      <c r="G742" s="906"/>
      <c r="H742" s="720"/>
      <c r="I742" s="720"/>
      <c r="J742" s="720"/>
      <c r="K742" s="907"/>
      <c r="L742" s="720"/>
      <c r="M742" s="720"/>
      <c r="N742" s="720"/>
      <c r="O742" s="720"/>
      <c r="P742" s="720"/>
      <c r="Q742" s="720"/>
      <c r="R742" s="720"/>
      <c r="S742" s="720"/>
      <c r="T742" s="720"/>
      <c r="U742" s="720"/>
      <c r="V742" s="720"/>
      <c r="W742" s="720"/>
      <c r="X742" s="720"/>
      <c r="Y742" s="720"/>
      <c r="Z742" s="720"/>
      <c r="AA742" s="720"/>
      <c r="AB742" s="720"/>
    </row>
    <row r="743" spans="1:28" ht="12.75" customHeight="1">
      <c r="A743" s="902"/>
      <c r="B743" s="903"/>
      <c r="C743" s="720"/>
      <c r="D743" s="720"/>
      <c r="E743" s="720"/>
      <c r="F743" s="720"/>
      <c r="G743" s="906"/>
      <c r="H743" s="720"/>
      <c r="I743" s="720"/>
      <c r="J743" s="720"/>
      <c r="K743" s="907"/>
      <c r="L743" s="720"/>
      <c r="M743" s="720"/>
      <c r="N743" s="720"/>
      <c r="O743" s="720"/>
      <c r="P743" s="720"/>
      <c r="Q743" s="720"/>
      <c r="R743" s="720"/>
      <c r="S743" s="720"/>
      <c r="T743" s="720"/>
      <c r="U743" s="720"/>
      <c r="V743" s="720"/>
      <c r="W743" s="720"/>
      <c r="X743" s="720"/>
      <c r="Y743" s="720"/>
      <c r="Z743" s="720"/>
      <c r="AA743" s="720"/>
      <c r="AB743" s="720"/>
    </row>
    <row r="744" spans="1:28" ht="12.75" customHeight="1">
      <c r="A744" s="902"/>
      <c r="B744" s="903"/>
      <c r="C744" s="720"/>
      <c r="D744" s="720"/>
      <c r="E744" s="720"/>
      <c r="F744" s="720"/>
      <c r="G744" s="906"/>
      <c r="H744" s="720"/>
      <c r="I744" s="720"/>
      <c r="J744" s="720"/>
      <c r="K744" s="907"/>
      <c r="L744" s="720"/>
      <c r="M744" s="720"/>
      <c r="N744" s="720"/>
      <c r="O744" s="720"/>
      <c r="P744" s="720"/>
      <c r="Q744" s="720"/>
      <c r="R744" s="720"/>
      <c r="S744" s="720"/>
      <c r="T744" s="720"/>
      <c r="U744" s="720"/>
      <c r="V744" s="720"/>
      <c r="W744" s="720"/>
      <c r="X744" s="720"/>
      <c r="Y744" s="720"/>
      <c r="Z744" s="720"/>
      <c r="AA744" s="720"/>
      <c r="AB744" s="720"/>
    </row>
    <row r="745" spans="1:28" ht="12.75" customHeight="1">
      <c r="A745" s="902"/>
      <c r="B745" s="903"/>
      <c r="C745" s="720"/>
      <c r="D745" s="720"/>
      <c r="E745" s="720"/>
      <c r="F745" s="720"/>
      <c r="G745" s="906"/>
      <c r="H745" s="720"/>
      <c r="I745" s="720"/>
      <c r="J745" s="720"/>
      <c r="K745" s="907"/>
      <c r="L745" s="720"/>
      <c r="M745" s="720"/>
      <c r="N745" s="720"/>
      <c r="O745" s="720"/>
      <c r="P745" s="720"/>
      <c r="Q745" s="720"/>
      <c r="R745" s="720"/>
      <c r="S745" s="720"/>
      <c r="T745" s="720"/>
      <c r="U745" s="720"/>
      <c r="V745" s="720"/>
      <c r="W745" s="720"/>
      <c r="X745" s="720"/>
      <c r="Y745" s="720"/>
      <c r="Z745" s="720"/>
      <c r="AA745" s="720"/>
      <c r="AB745" s="720"/>
    </row>
    <row r="746" spans="1:28" ht="12.75" customHeight="1">
      <c r="A746" s="902"/>
      <c r="B746" s="903"/>
      <c r="C746" s="720"/>
      <c r="D746" s="720"/>
      <c r="E746" s="720"/>
      <c r="F746" s="720"/>
      <c r="G746" s="906"/>
      <c r="H746" s="720"/>
      <c r="I746" s="720"/>
      <c r="J746" s="720"/>
      <c r="K746" s="907"/>
      <c r="L746" s="720"/>
      <c r="M746" s="720"/>
      <c r="N746" s="720"/>
      <c r="O746" s="720"/>
      <c r="P746" s="720"/>
      <c r="Q746" s="720"/>
      <c r="R746" s="720"/>
      <c r="S746" s="720"/>
      <c r="T746" s="720"/>
      <c r="U746" s="720"/>
      <c r="V746" s="720"/>
      <c r="W746" s="720"/>
      <c r="X746" s="720"/>
      <c r="Y746" s="720"/>
      <c r="Z746" s="720"/>
      <c r="AA746" s="720"/>
      <c r="AB746" s="720"/>
    </row>
    <row r="747" spans="1:28" ht="12.75" customHeight="1">
      <c r="A747" s="902"/>
      <c r="B747" s="903"/>
      <c r="C747" s="720"/>
      <c r="D747" s="720"/>
      <c r="E747" s="720"/>
      <c r="F747" s="720"/>
      <c r="G747" s="906"/>
      <c r="H747" s="720"/>
      <c r="I747" s="720"/>
      <c r="J747" s="720"/>
      <c r="K747" s="907"/>
      <c r="L747" s="720"/>
      <c r="M747" s="720"/>
      <c r="N747" s="720"/>
      <c r="O747" s="720"/>
      <c r="P747" s="720"/>
      <c r="Q747" s="720"/>
      <c r="R747" s="720"/>
      <c r="S747" s="720"/>
      <c r="T747" s="720"/>
      <c r="U747" s="720"/>
      <c r="V747" s="720"/>
      <c r="W747" s="720"/>
      <c r="X747" s="720"/>
      <c r="Y747" s="720"/>
      <c r="Z747" s="720"/>
      <c r="AA747" s="720"/>
      <c r="AB747" s="720"/>
    </row>
    <row r="748" spans="1:28" ht="12.75" customHeight="1">
      <c r="A748" s="902"/>
      <c r="B748" s="903"/>
      <c r="C748" s="720"/>
      <c r="D748" s="720"/>
      <c r="E748" s="720"/>
      <c r="F748" s="720"/>
      <c r="G748" s="906"/>
      <c r="H748" s="720"/>
      <c r="I748" s="720"/>
      <c r="J748" s="720"/>
      <c r="K748" s="907"/>
      <c r="L748" s="720"/>
      <c r="M748" s="720"/>
      <c r="N748" s="720"/>
      <c r="O748" s="720"/>
      <c r="P748" s="720"/>
      <c r="Q748" s="720"/>
      <c r="R748" s="720"/>
      <c r="S748" s="720"/>
      <c r="T748" s="720"/>
      <c r="U748" s="720"/>
      <c r="V748" s="720"/>
      <c r="W748" s="720"/>
      <c r="X748" s="720"/>
      <c r="Y748" s="720"/>
      <c r="Z748" s="720"/>
      <c r="AA748" s="720"/>
      <c r="AB748" s="720"/>
    </row>
    <row r="749" spans="1:28" ht="12.75" customHeight="1">
      <c r="A749" s="902"/>
      <c r="B749" s="903"/>
      <c r="C749" s="720"/>
      <c r="D749" s="720"/>
      <c r="E749" s="720"/>
      <c r="F749" s="720"/>
      <c r="G749" s="906"/>
      <c r="H749" s="720"/>
      <c r="I749" s="720"/>
      <c r="J749" s="720"/>
      <c r="K749" s="907"/>
      <c r="L749" s="720"/>
      <c r="M749" s="720"/>
      <c r="N749" s="720"/>
      <c r="O749" s="720"/>
      <c r="P749" s="720"/>
      <c r="Q749" s="720"/>
      <c r="R749" s="720"/>
      <c r="S749" s="720"/>
      <c r="T749" s="720"/>
      <c r="U749" s="720"/>
      <c r="V749" s="720"/>
      <c r="W749" s="720"/>
      <c r="X749" s="720"/>
      <c r="Y749" s="720"/>
      <c r="Z749" s="720"/>
      <c r="AA749" s="720"/>
      <c r="AB749" s="720"/>
    </row>
    <row r="750" spans="1:28" ht="12.75" customHeight="1">
      <c r="A750" s="902"/>
      <c r="B750" s="903"/>
      <c r="C750" s="720"/>
      <c r="D750" s="720"/>
      <c r="E750" s="720"/>
      <c r="F750" s="720"/>
      <c r="G750" s="906"/>
      <c r="H750" s="720"/>
      <c r="I750" s="720"/>
      <c r="J750" s="720"/>
      <c r="K750" s="907"/>
      <c r="L750" s="720"/>
      <c r="M750" s="720"/>
      <c r="N750" s="720"/>
      <c r="O750" s="720"/>
      <c r="P750" s="720"/>
      <c r="Q750" s="720"/>
      <c r="R750" s="720"/>
      <c r="S750" s="720"/>
      <c r="T750" s="720"/>
      <c r="U750" s="720"/>
      <c r="V750" s="720"/>
      <c r="W750" s="720"/>
      <c r="X750" s="720"/>
      <c r="Y750" s="720"/>
      <c r="Z750" s="720"/>
      <c r="AA750" s="720"/>
      <c r="AB750" s="720"/>
    </row>
    <row r="751" spans="1:28" ht="12.75" customHeight="1">
      <c r="A751" s="902"/>
      <c r="B751" s="903"/>
      <c r="C751" s="720"/>
      <c r="D751" s="720"/>
      <c r="E751" s="720"/>
      <c r="F751" s="720"/>
      <c r="G751" s="906"/>
      <c r="H751" s="720"/>
      <c r="I751" s="720"/>
      <c r="J751" s="720"/>
      <c r="K751" s="907"/>
      <c r="L751" s="720"/>
      <c r="M751" s="720"/>
      <c r="N751" s="720"/>
      <c r="O751" s="720"/>
      <c r="P751" s="720"/>
      <c r="Q751" s="720"/>
      <c r="R751" s="720"/>
      <c r="S751" s="720"/>
      <c r="T751" s="720"/>
      <c r="U751" s="720"/>
      <c r="V751" s="720"/>
      <c r="W751" s="720"/>
      <c r="X751" s="720"/>
      <c r="Y751" s="720"/>
      <c r="Z751" s="720"/>
      <c r="AA751" s="720"/>
      <c r="AB751" s="720"/>
    </row>
    <row r="752" spans="1:28" ht="12.75" customHeight="1">
      <c r="A752" s="902"/>
      <c r="B752" s="903"/>
      <c r="C752" s="720"/>
      <c r="D752" s="720"/>
      <c r="E752" s="720"/>
      <c r="F752" s="720"/>
      <c r="G752" s="906"/>
      <c r="H752" s="720"/>
      <c r="I752" s="720"/>
      <c r="J752" s="720"/>
      <c r="K752" s="907"/>
      <c r="L752" s="720"/>
      <c r="M752" s="720"/>
      <c r="N752" s="720"/>
      <c r="O752" s="720"/>
      <c r="P752" s="720"/>
      <c r="Q752" s="720"/>
      <c r="R752" s="720"/>
      <c r="S752" s="720"/>
      <c r="T752" s="720"/>
      <c r="U752" s="720"/>
      <c r="V752" s="720"/>
      <c r="W752" s="720"/>
      <c r="X752" s="720"/>
      <c r="Y752" s="720"/>
      <c r="Z752" s="720"/>
      <c r="AA752" s="720"/>
      <c r="AB752" s="720"/>
    </row>
    <row r="753" spans="1:28" ht="12.75" customHeight="1">
      <c r="A753" s="902"/>
      <c r="B753" s="903"/>
      <c r="C753" s="720"/>
      <c r="D753" s="720"/>
      <c r="E753" s="720"/>
      <c r="F753" s="720"/>
      <c r="G753" s="906"/>
      <c r="H753" s="720"/>
      <c r="I753" s="720"/>
      <c r="J753" s="720"/>
      <c r="K753" s="907"/>
      <c r="L753" s="720"/>
      <c r="M753" s="720"/>
      <c r="N753" s="720"/>
      <c r="O753" s="720"/>
      <c r="P753" s="720"/>
      <c r="Q753" s="720"/>
      <c r="R753" s="720"/>
      <c r="S753" s="720"/>
      <c r="T753" s="720"/>
      <c r="U753" s="720"/>
      <c r="V753" s="720"/>
      <c r="W753" s="720"/>
      <c r="X753" s="720"/>
      <c r="Y753" s="720"/>
      <c r="Z753" s="720"/>
      <c r="AA753" s="720"/>
      <c r="AB753" s="720"/>
    </row>
    <row r="754" spans="1:28" ht="12.75" customHeight="1">
      <c r="A754" s="902"/>
      <c r="B754" s="903"/>
      <c r="C754" s="720"/>
      <c r="D754" s="720"/>
      <c r="E754" s="720"/>
      <c r="F754" s="720"/>
      <c r="G754" s="906"/>
      <c r="H754" s="720"/>
      <c r="I754" s="720"/>
      <c r="J754" s="720"/>
      <c r="K754" s="907"/>
      <c r="L754" s="720"/>
      <c r="M754" s="720"/>
      <c r="N754" s="720"/>
      <c r="O754" s="720"/>
      <c r="P754" s="720"/>
      <c r="Q754" s="720"/>
      <c r="R754" s="720"/>
      <c r="S754" s="720"/>
      <c r="T754" s="720"/>
      <c r="U754" s="720"/>
      <c r="V754" s="720"/>
      <c r="W754" s="720"/>
      <c r="X754" s="720"/>
      <c r="Y754" s="720"/>
      <c r="Z754" s="720"/>
      <c r="AA754" s="720"/>
      <c r="AB754" s="720"/>
    </row>
    <row r="755" spans="1:28" ht="12.75" customHeight="1">
      <c r="A755" s="902"/>
      <c r="B755" s="903"/>
      <c r="C755" s="720"/>
      <c r="D755" s="720"/>
      <c r="E755" s="720"/>
      <c r="F755" s="720"/>
      <c r="G755" s="906"/>
      <c r="H755" s="720"/>
      <c r="I755" s="720"/>
      <c r="J755" s="720"/>
      <c r="K755" s="907"/>
      <c r="L755" s="720"/>
      <c r="M755" s="720"/>
      <c r="N755" s="720"/>
      <c r="O755" s="720"/>
      <c r="P755" s="720"/>
      <c r="Q755" s="720"/>
      <c r="R755" s="720"/>
      <c r="S755" s="720"/>
      <c r="T755" s="720"/>
      <c r="U755" s="720"/>
      <c r="V755" s="720"/>
      <c r="W755" s="720"/>
      <c r="X755" s="720"/>
      <c r="Y755" s="720"/>
      <c r="Z755" s="720"/>
      <c r="AA755" s="720"/>
      <c r="AB755" s="720"/>
    </row>
    <row r="756" spans="1:28" ht="12.75" customHeight="1">
      <c r="A756" s="902"/>
      <c r="B756" s="903"/>
      <c r="C756" s="720"/>
      <c r="D756" s="720"/>
      <c r="E756" s="720"/>
      <c r="F756" s="720"/>
      <c r="G756" s="906"/>
      <c r="H756" s="720"/>
      <c r="I756" s="720"/>
      <c r="J756" s="720"/>
      <c r="K756" s="907"/>
      <c r="L756" s="720"/>
      <c r="M756" s="720"/>
      <c r="N756" s="720"/>
      <c r="O756" s="720"/>
      <c r="P756" s="720"/>
      <c r="Q756" s="720"/>
      <c r="R756" s="720"/>
      <c r="S756" s="720"/>
      <c r="T756" s="720"/>
      <c r="U756" s="720"/>
      <c r="V756" s="720"/>
      <c r="W756" s="720"/>
      <c r="X756" s="720"/>
      <c r="Y756" s="720"/>
      <c r="Z756" s="720"/>
      <c r="AA756" s="720"/>
      <c r="AB756" s="720"/>
    </row>
    <row r="757" spans="1:28" ht="12.75" customHeight="1">
      <c r="A757" s="902"/>
      <c r="B757" s="903"/>
      <c r="C757" s="720"/>
      <c r="D757" s="720"/>
      <c r="E757" s="720"/>
      <c r="F757" s="720"/>
      <c r="G757" s="906"/>
      <c r="H757" s="720"/>
      <c r="I757" s="720"/>
      <c r="J757" s="720"/>
      <c r="K757" s="907"/>
      <c r="L757" s="720"/>
      <c r="M757" s="720"/>
      <c r="N757" s="720"/>
      <c r="O757" s="720"/>
      <c r="P757" s="720"/>
      <c r="Q757" s="720"/>
      <c r="R757" s="720"/>
      <c r="S757" s="720"/>
      <c r="T757" s="720"/>
      <c r="U757" s="720"/>
      <c r="V757" s="720"/>
      <c r="W757" s="720"/>
      <c r="X757" s="720"/>
      <c r="Y757" s="720"/>
      <c r="Z757" s="720"/>
      <c r="AA757" s="720"/>
      <c r="AB757" s="720"/>
    </row>
    <row r="758" spans="1:28" ht="12.75" customHeight="1">
      <c r="A758" s="902"/>
      <c r="B758" s="903"/>
      <c r="C758" s="720"/>
      <c r="D758" s="720"/>
      <c r="E758" s="720"/>
      <c r="F758" s="720"/>
      <c r="G758" s="906"/>
      <c r="H758" s="720"/>
      <c r="I758" s="720"/>
      <c r="J758" s="720"/>
      <c r="K758" s="907"/>
      <c r="L758" s="720"/>
      <c r="M758" s="720"/>
      <c r="N758" s="720"/>
      <c r="O758" s="720"/>
      <c r="P758" s="720"/>
      <c r="Q758" s="720"/>
      <c r="R758" s="720"/>
      <c r="S758" s="720"/>
      <c r="T758" s="720"/>
      <c r="U758" s="720"/>
      <c r="V758" s="720"/>
      <c r="W758" s="720"/>
      <c r="X758" s="720"/>
      <c r="Y758" s="720"/>
      <c r="Z758" s="720"/>
      <c r="AA758" s="720"/>
      <c r="AB758" s="720"/>
    </row>
    <row r="759" spans="1:28" ht="12.75" customHeight="1">
      <c r="A759" s="902"/>
      <c r="B759" s="903"/>
      <c r="C759" s="720"/>
      <c r="D759" s="720"/>
      <c r="E759" s="720"/>
      <c r="F759" s="720"/>
      <c r="G759" s="906"/>
      <c r="H759" s="720"/>
      <c r="I759" s="720"/>
      <c r="J759" s="720"/>
      <c r="K759" s="907"/>
      <c r="L759" s="720"/>
      <c r="M759" s="720"/>
      <c r="N759" s="720"/>
      <c r="O759" s="720"/>
      <c r="P759" s="720"/>
      <c r="Q759" s="720"/>
      <c r="R759" s="720"/>
      <c r="S759" s="720"/>
      <c r="T759" s="720"/>
      <c r="U759" s="720"/>
      <c r="V759" s="720"/>
      <c r="W759" s="720"/>
      <c r="X759" s="720"/>
      <c r="Y759" s="720"/>
      <c r="Z759" s="720"/>
      <c r="AA759" s="720"/>
      <c r="AB759" s="720"/>
    </row>
    <row r="760" spans="1:28" ht="12.75" customHeight="1">
      <c r="A760" s="902"/>
      <c r="B760" s="903"/>
      <c r="C760" s="720"/>
      <c r="D760" s="720"/>
      <c r="E760" s="720"/>
      <c r="F760" s="720"/>
      <c r="G760" s="906"/>
      <c r="H760" s="720"/>
      <c r="I760" s="720"/>
      <c r="J760" s="720"/>
      <c r="K760" s="907"/>
      <c r="L760" s="720"/>
      <c r="M760" s="720"/>
      <c r="N760" s="720"/>
      <c r="O760" s="720"/>
      <c r="P760" s="720"/>
      <c r="Q760" s="720"/>
      <c r="R760" s="720"/>
      <c r="S760" s="720"/>
      <c r="T760" s="720"/>
      <c r="U760" s="720"/>
      <c r="V760" s="720"/>
      <c r="W760" s="720"/>
      <c r="X760" s="720"/>
      <c r="Y760" s="720"/>
      <c r="Z760" s="720"/>
      <c r="AA760" s="720"/>
      <c r="AB760" s="720"/>
    </row>
    <row r="761" spans="1:28" ht="12.75" customHeight="1">
      <c r="A761" s="902"/>
      <c r="B761" s="903"/>
      <c r="C761" s="720"/>
      <c r="D761" s="720"/>
      <c r="E761" s="720"/>
      <c r="F761" s="720"/>
      <c r="G761" s="906"/>
      <c r="H761" s="720"/>
      <c r="I761" s="720"/>
      <c r="J761" s="720"/>
      <c r="K761" s="907"/>
      <c r="L761" s="720"/>
      <c r="M761" s="720"/>
      <c r="N761" s="720"/>
      <c r="O761" s="720"/>
      <c r="P761" s="720"/>
      <c r="Q761" s="720"/>
      <c r="R761" s="720"/>
      <c r="S761" s="720"/>
      <c r="T761" s="720"/>
      <c r="U761" s="720"/>
      <c r="V761" s="720"/>
      <c r="W761" s="720"/>
      <c r="X761" s="720"/>
      <c r="Y761" s="720"/>
      <c r="Z761" s="720"/>
      <c r="AA761" s="720"/>
      <c r="AB761" s="720"/>
    </row>
    <row r="762" spans="1:28" ht="12.75" customHeight="1">
      <c r="A762" s="902"/>
      <c r="B762" s="903"/>
      <c r="C762" s="720"/>
      <c r="D762" s="720"/>
      <c r="E762" s="720"/>
      <c r="F762" s="720"/>
      <c r="G762" s="906"/>
      <c r="H762" s="720"/>
      <c r="I762" s="720"/>
      <c r="J762" s="720"/>
      <c r="K762" s="907"/>
      <c r="L762" s="720"/>
      <c r="M762" s="720"/>
      <c r="N762" s="720"/>
      <c r="O762" s="720"/>
      <c r="P762" s="720"/>
      <c r="Q762" s="720"/>
      <c r="R762" s="720"/>
      <c r="S762" s="720"/>
      <c r="T762" s="720"/>
      <c r="U762" s="720"/>
      <c r="V762" s="720"/>
      <c r="W762" s="720"/>
      <c r="X762" s="720"/>
      <c r="Y762" s="720"/>
      <c r="Z762" s="720"/>
      <c r="AA762" s="720"/>
      <c r="AB762" s="720"/>
    </row>
    <row r="763" spans="1:28" ht="12.75" customHeight="1">
      <c r="A763" s="902"/>
      <c r="B763" s="903"/>
      <c r="C763" s="720"/>
      <c r="D763" s="720"/>
      <c r="E763" s="720"/>
      <c r="F763" s="720"/>
      <c r="G763" s="906"/>
      <c r="H763" s="720"/>
      <c r="I763" s="720"/>
      <c r="J763" s="720"/>
      <c r="K763" s="907"/>
      <c r="L763" s="720"/>
      <c r="M763" s="720"/>
      <c r="N763" s="720"/>
      <c r="O763" s="720"/>
      <c r="P763" s="720"/>
      <c r="Q763" s="720"/>
      <c r="R763" s="720"/>
      <c r="S763" s="720"/>
      <c r="T763" s="720"/>
      <c r="U763" s="720"/>
      <c r="V763" s="720"/>
      <c r="W763" s="720"/>
      <c r="X763" s="720"/>
      <c r="Y763" s="720"/>
      <c r="Z763" s="720"/>
      <c r="AA763" s="720"/>
      <c r="AB763" s="720"/>
    </row>
    <row r="764" spans="1:28" ht="12.75" customHeight="1">
      <c r="A764" s="902"/>
      <c r="B764" s="903"/>
      <c r="C764" s="720"/>
      <c r="D764" s="720"/>
      <c r="E764" s="720"/>
      <c r="F764" s="720"/>
      <c r="G764" s="906"/>
      <c r="H764" s="720"/>
      <c r="I764" s="720"/>
      <c r="J764" s="720"/>
      <c r="K764" s="907"/>
      <c r="L764" s="720"/>
      <c r="M764" s="720"/>
      <c r="N764" s="720"/>
      <c r="O764" s="720"/>
      <c r="P764" s="720"/>
      <c r="Q764" s="720"/>
      <c r="R764" s="720"/>
      <c r="S764" s="720"/>
      <c r="T764" s="720"/>
      <c r="U764" s="720"/>
      <c r="V764" s="720"/>
      <c r="W764" s="720"/>
      <c r="X764" s="720"/>
      <c r="Y764" s="720"/>
      <c r="Z764" s="720"/>
      <c r="AA764" s="720"/>
      <c r="AB764" s="720"/>
    </row>
    <row r="765" spans="1:28" ht="12.75" customHeight="1">
      <c r="A765" s="902"/>
      <c r="B765" s="903"/>
      <c r="C765" s="720"/>
      <c r="D765" s="720"/>
      <c r="E765" s="720"/>
      <c r="F765" s="720"/>
      <c r="G765" s="906"/>
      <c r="H765" s="720"/>
      <c r="I765" s="720"/>
      <c r="J765" s="720"/>
      <c r="K765" s="907"/>
      <c r="L765" s="720"/>
      <c r="M765" s="720"/>
      <c r="N765" s="720"/>
      <c r="O765" s="720"/>
      <c r="P765" s="720"/>
      <c r="Q765" s="720"/>
      <c r="R765" s="720"/>
      <c r="S765" s="720"/>
      <c r="T765" s="720"/>
      <c r="U765" s="720"/>
      <c r="V765" s="720"/>
      <c r="W765" s="720"/>
      <c r="X765" s="720"/>
      <c r="Y765" s="720"/>
      <c r="Z765" s="720"/>
      <c r="AA765" s="720"/>
      <c r="AB765" s="720"/>
    </row>
    <row r="766" spans="1:28" ht="12.75" customHeight="1">
      <c r="A766" s="902"/>
      <c r="B766" s="903"/>
      <c r="C766" s="720"/>
      <c r="D766" s="720"/>
      <c r="E766" s="720"/>
      <c r="F766" s="720"/>
      <c r="G766" s="906"/>
      <c r="H766" s="720"/>
      <c r="I766" s="720"/>
      <c r="J766" s="720"/>
      <c r="K766" s="907"/>
      <c r="L766" s="720"/>
      <c r="M766" s="720"/>
      <c r="N766" s="720"/>
      <c r="O766" s="720"/>
      <c r="P766" s="720"/>
      <c r="Q766" s="720"/>
      <c r="R766" s="720"/>
      <c r="S766" s="720"/>
      <c r="T766" s="720"/>
      <c r="U766" s="720"/>
      <c r="V766" s="720"/>
      <c r="W766" s="720"/>
      <c r="X766" s="720"/>
      <c r="Y766" s="720"/>
      <c r="Z766" s="720"/>
      <c r="AA766" s="720"/>
      <c r="AB766" s="720"/>
    </row>
    <row r="767" spans="1:28" ht="12.75" customHeight="1">
      <c r="A767" s="902"/>
      <c r="B767" s="903"/>
      <c r="C767" s="720"/>
      <c r="D767" s="720"/>
      <c r="E767" s="720"/>
      <c r="F767" s="720"/>
      <c r="G767" s="906"/>
      <c r="H767" s="720"/>
      <c r="I767" s="720"/>
      <c r="J767" s="720"/>
      <c r="K767" s="907"/>
      <c r="L767" s="720"/>
      <c r="M767" s="720"/>
      <c r="N767" s="720"/>
      <c r="O767" s="720"/>
      <c r="P767" s="720"/>
      <c r="Q767" s="720"/>
      <c r="R767" s="720"/>
      <c r="S767" s="720"/>
      <c r="T767" s="720"/>
      <c r="U767" s="720"/>
      <c r="V767" s="720"/>
      <c r="W767" s="720"/>
      <c r="X767" s="720"/>
      <c r="Y767" s="720"/>
      <c r="Z767" s="720"/>
      <c r="AA767" s="720"/>
      <c r="AB767" s="720"/>
    </row>
    <row r="768" spans="1:28" ht="12.75" customHeight="1">
      <c r="A768" s="902"/>
      <c r="B768" s="903"/>
      <c r="C768" s="720"/>
      <c r="D768" s="720"/>
      <c r="E768" s="720"/>
      <c r="F768" s="720"/>
      <c r="G768" s="906"/>
      <c r="H768" s="720"/>
      <c r="I768" s="720"/>
      <c r="J768" s="720"/>
      <c r="K768" s="907"/>
      <c r="L768" s="720"/>
      <c r="M768" s="720"/>
      <c r="N768" s="720"/>
      <c r="O768" s="720"/>
      <c r="P768" s="720"/>
      <c r="Q768" s="720"/>
      <c r="R768" s="720"/>
      <c r="S768" s="720"/>
      <c r="T768" s="720"/>
      <c r="U768" s="720"/>
      <c r="V768" s="720"/>
      <c r="W768" s="720"/>
      <c r="X768" s="720"/>
      <c r="Y768" s="720"/>
      <c r="Z768" s="720"/>
      <c r="AA768" s="720"/>
      <c r="AB768" s="720"/>
    </row>
    <row r="769" spans="1:28" ht="12.75" customHeight="1">
      <c r="A769" s="902"/>
      <c r="B769" s="903"/>
      <c r="C769" s="720"/>
      <c r="D769" s="720"/>
      <c r="E769" s="720"/>
      <c r="F769" s="720"/>
      <c r="G769" s="906"/>
      <c r="H769" s="720"/>
      <c r="I769" s="720"/>
      <c r="J769" s="720"/>
      <c r="K769" s="907"/>
      <c r="L769" s="720"/>
      <c r="M769" s="720"/>
      <c r="N769" s="720"/>
      <c r="O769" s="720"/>
      <c r="P769" s="720"/>
      <c r="Q769" s="720"/>
      <c r="R769" s="720"/>
      <c r="S769" s="720"/>
      <c r="T769" s="720"/>
      <c r="U769" s="720"/>
      <c r="V769" s="720"/>
      <c r="W769" s="720"/>
      <c r="X769" s="720"/>
      <c r="Y769" s="720"/>
      <c r="Z769" s="720"/>
      <c r="AA769" s="720"/>
      <c r="AB769" s="720"/>
    </row>
    <row r="770" spans="1:28" ht="12.75" customHeight="1">
      <c r="A770" s="902"/>
      <c r="B770" s="903"/>
      <c r="C770" s="720"/>
      <c r="D770" s="720"/>
      <c r="E770" s="720"/>
      <c r="F770" s="720"/>
      <c r="G770" s="906"/>
      <c r="H770" s="720"/>
      <c r="I770" s="720"/>
      <c r="J770" s="720"/>
      <c r="K770" s="907"/>
      <c r="L770" s="720"/>
      <c r="M770" s="720"/>
      <c r="N770" s="720"/>
      <c r="O770" s="720"/>
      <c r="P770" s="720"/>
      <c r="Q770" s="720"/>
      <c r="R770" s="720"/>
      <c r="S770" s="720"/>
      <c r="T770" s="720"/>
      <c r="U770" s="720"/>
      <c r="V770" s="720"/>
      <c r="W770" s="720"/>
      <c r="X770" s="720"/>
      <c r="Y770" s="720"/>
      <c r="Z770" s="720"/>
      <c r="AA770" s="720"/>
      <c r="AB770" s="720"/>
    </row>
    <row r="771" spans="1:28" ht="12.75" customHeight="1">
      <c r="A771" s="902"/>
      <c r="B771" s="903"/>
      <c r="C771" s="720"/>
      <c r="D771" s="720"/>
      <c r="E771" s="720"/>
      <c r="F771" s="720"/>
      <c r="G771" s="906"/>
      <c r="H771" s="720"/>
      <c r="I771" s="720"/>
      <c r="J771" s="720"/>
      <c r="K771" s="907"/>
      <c r="L771" s="720"/>
      <c r="M771" s="720"/>
      <c r="N771" s="720"/>
      <c r="O771" s="720"/>
      <c r="P771" s="720"/>
      <c r="Q771" s="720"/>
      <c r="R771" s="720"/>
      <c r="S771" s="720"/>
      <c r="T771" s="720"/>
      <c r="U771" s="720"/>
      <c r="V771" s="720"/>
      <c r="W771" s="720"/>
      <c r="X771" s="720"/>
      <c r="Y771" s="720"/>
      <c r="Z771" s="720"/>
      <c r="AA771" s="720"/>
      <c r="AB771" s="720"/>
    </row>
    <row r="772" spans="1:28" ht="12.75" customHeight="1">
      <c r="A772" s="902"/>
      <c r="B772" s="903"/>
      <c r="C772" s="720"/>
      <c r="D772" s="720"/>
      <c r="E772" s="720"/>
      <c r="F772" s="720"/>
      <c r="G772" s="906"/>
      <c r="H772" s="720"/>
      <c r="I772" s="720"/>
      <c r="J772" s="720"/>
      <c r="K772" s="907"/>
      <c r="L772" s="720"/>
      <c r="M772" s="720"/>
      <c r="N772" s="720"/>
      <c r="O772" s="720"/>
      <c r="P772" s="720"/>
      <c r="Q772" s="720"/>
      <c r="R772" s="720"/>
      <c r="S772" s="720"/>
      <c r="T772" s="720"/>
      <c r="U772" s="720"/>
      <c r="V772" s="720"/>
      <c r="W772" s="720"/>
      <c r="X772" s="720"/>
      <c r="Y772" s="720"/>
      <c r="Z772" s="720"/>
      <c r="AA772" s="720"/>
      <c r="AB772" s="720"/>
    </row>
    <row r="773" spans="1:28" ht="12.75" customHeight="1">
      <c r="A773" s="902"/>
      <c r="B773" s="903"/>
      <c r="C773" s="720"/>
      <c r="D773" s="720"/>
      <c r="E773" s="720"/>
      <c r="F773" s="720"/>
      <c r="G773" s="906"/>
      <c r="H773" s="720"/>
      <c r="I773" s="720"/>
      <c r="J773" s="720"/>
      <c r="K773" s="907"/>
      <c r="L773" s="720"/>
      <c r="M773" s="720"/>
      <c r="N773" s="720"/>
      <c r="O773" s="720"/>
      <c r="P773" s="720"/>
      <c r="Q773" s="720"/>
      <c r="R773" s="720"/>
      <c r="S773" s="720"/>
      <c r="T773" s="720"/>
      <c r="U773" s="720"/>
      <c r="V773" s="720"/>
      <c r="W773" s="720"/>
      <c r="X773" s="720"/>
      <c r="Y773" s="720"/>
      <c r="Z773" s="720"/>
      <c r="AA773" s="720"/>
      <c r="AB773" s="720"/>
    </row>
    <row r="774" spans="1:28" ht="12.75" customHeight="1">
      <c r="A774" s="902"/>
      <c r="B774" s="903"/>
      <c r="C774" s="720"/>
      <c r="D774" s="720"/>
      <c r="E774" s="720"/>
      <c r="F774" s="720"/>
      <c r="G774" s="906"/>
      <c r="H774" s="720"/>
      <c r="I774" s="720"/>
      <c r="J774" s="720"/>
      <c r="K774" s="907"/>
      <c r="L774" s="720"/>
      <c r="M774" s="720"/>
      <c r="N774" s="720"/>
      <c r="O774" s="720"/>
      <c r="P774" s="720"/>
      <c r="Q774" s="720"/>
      <c r="R774" s="720"/>
      <c r="S774" s="720"/>
      <c r="T774" s="720"/>
      <c r="U774" s="720"/>
      <c r="V774" s="720"/>
      <c r="W774" s="720"/>
      <c r="X774" s="720"/>
      <c r="Y774" s="720"/>
      <c r="Z774" s="720"/>
      <c r="AA774" s="720"/>
      <c r="AB774" s="720"/>
    </row>
    <row r="775" spans="1:28" ht="12.75" customHeight="1">
      <c r="A775" s="902"/>
      <c r="B775" s="903"/>
      <c r="C775" s="720"/>
      <c r="D775" s="720"/>
      <c r="E775" s="720"/>
      <c r="F775" s="720"/>
      <c r="G775" s="906"/>
      <c r="H775" s="720"/>
      <c r="I775" s="720"/>
      <c r="J775" s="720"/>
      <c r="K775" s="907"/>
      <c r="L775" s="720"/>
      <c r="M775" s="720"/>
      <c r="N775" s="720"/>
      <c r="O775" s="720"/>
      <c r="P775" s="720"/>
      <c r="Q775" s="720"/>
      <c r="R775" s="720"/>
      <c r="S775" s="720"/>
      <c r="T775" s="720"/>
      <c r="U775" s="720"/>
      <c r="V775" s="720"/>
      <c r="W775" s="720"/>
      <c r="X775" s="720"/>
      <c r="Y775" s="720"/>
      <c r="Z775" s="720"/>
      <c r="AA775" s="720"/>
      <c r="AB775" s="720"/>
    </row>
    <row r="776" spans="1:28" ht="12.75" customHeight="1">
      <c r="A776" s="902"/>
      <c r="B776" s="903"/>
      <c r="C776" s="720"/>
      <c r="D776" s="720"/>
      <c r="E776" s="720"/>
      <c r="F776" s="720"/>
      <c r="G776" s="906"/>
      <c r="H776" s="720"/>
      <c r="I776" s="720"/>
      <c r="J776" s="720"/>
      <c r="K776" s="907"/>
      <c r="L776" s="720"/>
      <c r="M776" s="720"/>
      <c r="N776" s="720"/>
      <c r="O776" s="720"/>
      <c r="P776" s="720"/>
      <c r="Q776" s="720"/>
      <c r="R776" s="720"/>
      <c r="S776" s="720"/>
      <c r="T776" s="720"/>
      <c r="U776" s="720"/>
      <c r="V776" s="720"/>
      <c r="W776" s="720"/>
      <c r="X776" s="720"/>
      <c r="Y776" s="720"/>
      <c r="Z776" s="720"/>
      <c r="AA776" s="720"/>
      <c r="AB776" s="720"/>
    </row>
    <row r="777" spans="1:28" ht="12.75" customHeight="1">
      <c r="A777" s="902"/>
      <c r="B777" s="903"/>
      <c r="C777" s="720"/>
      <c r="D777" s="720"/>
      <c r="E777" s="720"/>
      <c r="F777" s="720"/>
      <c r="G777" s="906"/>
      <c r="H777" s="720"/>
      <c r="I777" s="720"/>
      <c r="J777" s="720"/>
      <c r="K777" s="907"/>
      <c r="L777" s="720"/>
      <c r="M777" s="720"/>
      <c r="N777" s="720"/>
      <c r="O777" s="720"/>
      <c r="P777" s="720"/>
      <c r="Q777" s="720"/>
      <c r="R777" s="720"/>
      <c r="S777" s="720"/>
      <c r="T777" s="720"/>
      <c r="U777" s="720"/>
      <c r="V777" s="720"/>
      <c r="W777" s="720"/>
      <c r="X777" s="720"/>
      <c r="Y777" s="720"/>
      <c r="Z777" s="720"/>
      <c r="AA777" s="720"/>
      <c r="AB777" s="720"/>
    </row>
    <row r="778" spans="1:28" ht="12.75" customHeight="1">
      <c r="A778" s="902"/>
      <c r="B778" s="903"/>
      <c r="C778" s="720"/>
      <c r="D778" s="720"/>
      <c r="E778" s="720"/>
      <c r="F778" s="720"/>
      <c r="G778" s="906"/>
      <c r="H778" s="720"/>
      <c r="I778" s="720"/>
      <c r="J778" s="720"/>
      <c r="K778" s="907"/>
      <c r="L778" s="720"/>
      <c r="M778" s="720"/>
      <c r="N778" s="720"/>
      <c r="O778" s="720"/>
      <c r="P778" s="720"/>
      <c r="Q778" s="720"/>
      <c r="R778" s="720"/>
      <c r="S778" s="720"/>
      <c r="T778" s="720"/>
      <c r="U778" s="720"/>
      <c r="V778" s="720"/>
      <c r="W778" s="720"/>
      <c r="X778" s="720"/>
      <c r="Y778" s="720"/>
      <c r="Z778" s="720"/>
      <c r="AA778" s="720"/>
      <c r="AB778" s="720"/>
    </row>
    <row r="779" spans="1:28" ht="12.75" customHeight="1">
      <c r="A779" s="902"/>
      <c r="B779" s="903"/>
      <c r="C779" s="720"/>
      <c r="D779" s="720"/>
      <c r="E779" s="720"/>
      <c r="F779" s="720"/>
      <c r="G779" s="906"/>
      <c r="H779" s="720"/>
      <c r="I779" s="720"/>
      <c r="J779" s="720"/>
      <c r="K779" s="907"/>
      <c r="L779" s="720"/>
      <c r="M779" s="720"/>
      <c r="N779" s="720"/>
      <c r="O779" s="720"/>
      <c r="P779" s="720"/>
      <c r="Q779" s="720"/>
      <c r="R779" s="720"/>
      <c r="S779" s="720"/>
      <c r="T779" s="720"/>
      <c r="U779" s="720"/>
      <c r="V779" s="720"/>
      <c r="W779" s="720"/>
      <c r="X779" s="720"/>
      <c r="Y779" s="720"/>
      <c r="Z779" s="720"/>
      <c r="AA779" s="720"/>
      <c r="AB779" s="720"/>
    </row>
    <row r="780" spans="1:28" ht="12.75" customHeight="1">
      <c r="A780" s="902"/>
      <c r="B780" s="903"/>
      <c r="C780" s="720"/>
      <c r="D780" s="720"/>
      <c r="E780" s="720"/>
      <c r="F780" s="720"/>
      <c r="G780" s="906"/>
      <c r="H780" s="720"/>
      <c r="I780" s="720"/>
      <c r="J780" s="720"/>
      <c r="K780" s="907"/>
      <c r="L780" s="720"/>
      <c r="M780" s="720"/>
      <c r="N780" s="720"/>
      <c r="O780" s="720"/>
      <c r="P780" s="720"/>
      <c r="Q780" s="720"/>
      <c r="R780" s="720"/>
      <c r="S780" s="720"/>
      <c r="T780" s="720"/>
      <c r="U780" s="720"/>
      <c r="V780" s="720"/>
      <c r="W780" s="720"/>
      <c r="X780" s="720"/>
      <c r="Y780" s="720"/>
      <c r="Z780" s="720"/>
      <c r="AA780" s="720"/>
      <c r="AB780" s="720"/>
    </row>
    <row r="781" spans="1:28" ht="12.75" customHeight="1">
      <c r="A781" s="902"/>
      <c r="B781" s="903"/>
      <c r="C781" s="720"/>
      <c r="D781" s="720"/>
      <c r="E781" s="720"/>
      <c r="F781" s="720"/>
      <c r="G781" s="906"/>
      <c r="H781" s="720"/>
      <c r="I781" s="720"/>
      <c r="J781" s="720"/>
      <c r="K781" s="907"/>
      <c r="L781" s="720"/>
      <c r="M781" s="720"/>
      <c r="N781" s="720"/>
      <c r="O781" s="720"/>
      <c r="P781" s="720"/>
      <c r="Q781" s="720"/>
      <c r="R781" s="720"/>
      <c r="S781" s="720"/>
      <c r="T781" s="720"/>
      <c r="U781" s="720"/>
      <c r="V781" s="720"/>
      <c r="W781" s="720"/>
      <c r="X781" s="720"/>
      <c r="Y781" s="720"/>
      <c r="Z781" s="720"/>
      <c r="AA781" s="720"/>
      <c r="AB781" s="720"/>
    </row>
    <row r="782" spans="1:28" ht="12.75" customHeight="1">
      <c r="A782" s="902"/>
      <c r="B782" s="903"/>
      <c r="C782" s="720"/>
      <c r="D782" s="720"/>
      <c r="E782" s="720"/>
      <c r="F782" s="720"/>
      <c r="G782" s="906"/>
      <c r="H782" s="720"/>
      <c r="I782" s="720"/>
      <c r="J782" s="720"/>
      <c r="K782" s="907"/>
      <c r="L782" s="720"/>
      <c r="M782" s="720"/>
      <c r="N782" s="720"/>
      <c r="O782" s="720"/>
      <c r="P782" s="720"/>
      <c r="Q782" s="720"/>
      <c r="R782" s="720"/>
      <c r="S782" s="720"/>
      <c r="T782" s="720"/>
      <c r="U782" s="720"/>
      <c r="V782" s="720"/>
      <c r="W782" s="720"/>
      <c r="X782" s="720"/>
      <c r="Y782" s="720"/>
      <c r="Z782" s="720"/>
      <c r="AA782" s="720"/>
      <c r="AB782" s="720"/>
    </row>
    <row r="783" spans="1:28" ht="12.75" customHeight="1">
      <c r="A783" s="902"/>
      <c r="B783" s="903"/>
      <c r="C783" s="720"/>
      <c r="D783" s="720"/>
      <c r="E783" s="720"/>
      <c r="F783" s="720"/>
      <c r="G783" s="906"/>
      <c r="H783" s="720"/>
      <c r="I783" s="720"/>
      <c r="J783" s="720"/>
      <c r="K783" s="907"/>
      <c r="L783" s="720"/>
      <c r="M783" s="720"/>
      <c r="N783" s="720"/>
      <c r="O783" s="720"/>
      <c r="P783" s="720"/>
      <c r="Q783" s="720"/>
      <c r="R783" s="720"/>
      <c r="S783" s="720"/>
      <c r="T783" s="720"/>
      <c r="U783" s="720"/>
      <c r="V783" s="720"/>
      <c r="W783" s="720"/>
      <c r="X783" s="720"/>
      <c r="Y783" s="720"/>
      <c r="Z783" s="720"/>
      <c r="AA783" s="720"/>
      <c r="AB783" s="720"/>
    </row>
    <row r="784" spans="1:28" ht="12.75" customHeight="1">
      <c r="A784" s="902"/>
      <c r="B784" s="903"/>
      <c r="C784" s="720"/>
      <c r="D784" s="720"/>
      <c r="E784" s="720"/>
      <c r="F784" s="720"/>
      <c r="G784" s="906"/>
      <c r="H784" s="720"/>
      <c r="I784" s="720"/>
      <c r="J784" s="720"/>
      <c r="K784" s="907"/>
      <c r="L784" s="720"/>
      <c r="M784" s="720"/>
      <c r="N784" s="720"/>
      <c r="O784" s="720"/>
      <c r="P784" s="720"/>
      <c r="Q784" s="720"/>
      <c r="R784" s="720"/>
      <c r="S784" s="720"/>
      <c r="T784" s="720"/>
      <c r="U784" s="720"/>
      <c r="V784" s="720"/>
      <c r="W784" s="720"/>
      <c r="X784" s="720"/>
      <c r="Y784" s="720"/>
      <c r="Z784" s="720"/>
      <c r="AA784" s="720"/>
      <c r="AB784" s="720"/>
    </row>
    <row r="785" spans="1:28" ht="12.75" customHeight="1">
      <c r="A785" s="902"/>
      <c r="B785" s="903"/>
      <c r="C785" s="720"/>
      <c r="D785" s="720"/>
      <c r="E785" s="720"/>
      <c r="F785" s="720"/>
      <c r="G785" s="906"/>
      <c r="H785" s="720"/>
      <c r="I785" s="720"/>
      <c r="J785" s="720"/>
      <c r="K785" s="907"/>
      <c r="L785" s="720"/>
      <c r="M785" s="720"/>
      <c r="N785" s="720"/>
      <c r="O785" s="720"/>
      <c r="P785" s="720"/>
      <c r="Q785" s="720"/>
      <c r="R785" s="720"/>
      <c r="S785" s="720"/>
      <c r="T785" s="720"/>
      <c r="U785" s="720"/>
      <c r="V785" s="720"/>
      <c r="W785" s="720"/>
      <c r="X785" s="720"/>
      <c r="Y785" s="720"/>
      <c r="Z785" s="720"/>
      <c r="AA785" s="720"/>
      <c r="AB785" s="720"/>
    </row>
    <row r="786" spans="1:28" ht="12.75" customHeight="1">
      <c r="A786" s="902"/>
      <c r="B786" s="903"/>
      <c r="C786" s="720"/>
      <c r="D786" s="720"/>
      <c r="E786" s="720"/>
      <c r="F786" s="720"/>
      <c r="G786" s="906"/>
      <c r="H786" s="720"/>
      <c r="I786" s="720"/>
      <c r="J786" s="720"/>
      <c r="K786" s="907"/>
      <c r="L786" s="720"/>
      <c r="M786" s="720"/>
      <c r="N786" s="720"/>
      <c r="O786" s="720"/>
      <c r="P786" s="720"/>
      <c r="Q786" s="720"/>
      <c r="R786" s="720"/>
      <c r="S786" s="720"/>
      <c r="T786" s="720"/>
      <c r="U786" s="720"/>
      <c r="V786" s="720"/>
      <c r="W786" s="720"/>
      <c r="X786" s="720"/>
      <c r="Y786" s="720"/>
      <c r="Z786" s="720"/>
      <c r="AA786" s="720"/>
      <c r="AB786" s="720"/>
    </row>
    <row r="787" spans="1:28" ht="12.75" customHeight="1">
      <c r="A787" s="902"/>
      <c r="B787" s="903"/>
      <c r="C787" s="720"/>
      <c r="D787" s="720"/>
      <c r="E787" s="720"/>
      <c r="F787" s="720"/>
      <c r="G787" s="906"/>
      <c r="H787" s="720"/>
      <c r="I787" s="720"/>
      <c r="J787" s="720"/>
      <c r="K787" s="907"/>
      <c r="L787" s="720"/>
      <c r="M787" s="720"/>
      <c r="N787" s="720"/>
      <c r="O787" s="720"/>
      <c r="P787" s="720"/>
      <c r="Q787" s="720"/>
      <c r="R787" s="720"/>
      <c r="S787" s="720"/>
      <c r="T787" s="720"/>
      <c r="U787" s="720"/>
      <c r="V787" s="720"/>
      <c r="W787" s="720"/>
      <c r="X787" s="720"/>
      <c r="Y787" s="720"/>
      <c r="Z787" s="720"/>
      <c r="AA787" s="720"/>
      <c r="AB787" s="720"/>
    </row>
    <row r="788" spans="1:28" ht="12.75" customHeight="1">
      <c r="A788" s="902"/>
      <c r="B788" s="903"/>
      <c r="C788" s="720"/>
      <c r="D788" s="720"/>
      <c r="E788" s="720"/>
      <c r="F788" s="720"/>
      <c r="G788" s="906"/>
      <c r="H788" s="720"/>
      <c r="I788" s="720"/>
      <c r="J788" s="720"/>
      <c r="K788" s="907"/>
      <c r="L788" s="720"/>
      <c r="M788" s="720"/>
      <c r="N788" s="720"/>
      <c r="O788" s="720"/>
      <c r="P788" s="720"/>
      <c r="Q788" s="720"/>
      <c r="R788" s="720"/>
      <c r="S788" s="720"/>
      <c r="T788" s="720"/>
      <c r="U788" s="720"/>
      <c r="V788" s="720"/>
      <c r="W788" s="720"/>
      <c r="X788" s="720"/>
      <c r="Y788" s="720"/>
      <c r="Z788" s="720"/>
      <c r="AA788" s="720"/>
      <c r="AB788" s="720"/>
    </row>
    <row r="789" spans="1:28" ht="12.75" customHeight="1">
      <c r="A789" s="902"/>
      <c r="B789" s="903"/>
      <c r="C789" s="720"/>
      <c r="D789" s="720"/>
      <c r="E789" s="720"/>
      <c r="F789" s="720"/>
      <c r="G789" s="906"/>
      <c r="H789" s="720"/>
      <c r="I789" s="720"/>
      <c r="J789" s="720"/>
      <c r="K789" s="907"/>
      <c r="L789" s="720"/>
      <c r="M789" s="720"/>
      <c r="N789" s="720"/>
      <c r="O789" s="720"/>
      <c r="P789" s="720"/>
      <c r="Q789" s="720"/>
      <c r="R789" s="720"/>
      <c r="S789" s="720"/>
      <c r="T789" s="720"/>
      <c r="U789" s="720"/>
      <c r="V789" s="720"/>
      <c r="W789" s="720"/>
      <c r="X789" s="720"/>
      <c r="Y789" s="720"/>
      <c r="Z789" s="720"/>
      <c r="AA789" s="720"/>
      <c r="AB789" s="720"/>
    </row>
    <row r="790" spans="1:28" ht="12.75" customHeight="1">
      <c r="A790" s="902"/>
      <c r="B790" s="903"/>
      <c r="C790" s="720"/>
      <c r="D790" s="720"/>
      <c r="E790" s="720"/>
      <c r="F790" s="720"/>
      <c r="G790" s="906"/>
      <c r="H790" s="720"/>
      <c r="I790" s="720"/>
      <c r="J790" s="720"/>
      <c r="K790" s="907"/>
      <c r="L790" s="720"/>
      <c r="M790" s="720"/>
      <c r="N790" s="720"/>
      <c r="O790" s="720"/>
      <c r="P790" s="720"/>
      <c r="Q790" s="720"/>
      <c r="R790" s="720"/>
      <c r="S790" s="720"/>
      <c r="T790" s="720"/>
      <c r="U790" s="720"/>
      <c r="V790" s="720"/>
      <c r="W790" s="720"/>
      <c r="X790" s="720"/>
      <c r="Y790" s="720"/>
      <c r="Z790" s="720"/>
      <c r="AA790" s="720"/>
      <c r="AB790" s="720"/>
    </row>
    <row r="791" spans="1:28" ht="12.75" customHeight="1">
      <c r="A791" s="902"/>
      <c r="B791" s="903"/>
      <c r="C791" s="720"/>
      <c r="D791" s="720"/>
      <c r="E791" s="720"/>
      <c r="F791" s="720"/>
      <c r="G791" s="906"/>
      <c r="H791" s="720"/>
      <c r="I791" s="720"/>
      <c r="J791" s="720"/>
      <c r="K791" s="907"/>
      <c r="L791" s="720"/>
      <c r="M791" s="720"/>
      <c r="N791" s="720"/>
      <c r="O791" s="720"/>
      <c r="P791" s="720"/>
      <c r="Q791" s="720"/>
      <c r="R791" s="720"/>
      <c r="S791" s="720"/>
      <c r="T791" s="720"/>
      <c r="U791" s="720"/>
      <c r="V791" s="720"/>
      <c r="W791" s="720"/>
      <c r="X791" s="720"/>
      <c r="Y791" s="720"/>
      <c r="Z791" s="720"/>
      <c r="AA791" s="720"/>
      <c r="AB791" s="720"/>
    </row>
    <row r="792" spans="1:28" ht="12.75" customHeight="1">
      <c r="A792" s="902"/>
      <c r="B792" s="903"/>
      <c r="C792" s="720"/>
      <c r="D792" s="720"/>
      <c r="E792" s="720"/>
      <c r="F792" s="720"/>
      <c r="G792" s="906"/>
      <c r="H792" s="720"/>
      <c r="I792" s="720"/>
      <c r="J792" s="720"/>
      <c r="K792" s="907"/>
      <c r="L792" s="720"/>
      <c r="M792" s="720"/>
      <c r="N792" s="720"/>
      <c r="O792" s="720"/>
      <c r="P792" s="720"/>
      <c r="Q792" s="720"/>
      <c r="R792" s="720"/>
      <c r="S792" s="720"/>
      <c r="T792" s="720"/>
      <c r="U792" s="720"/>
      <c r="V792" s="720"/>
      <c r="W792" s="720"/>
      <c r="X792" s="720"/>
      <c r="Y792" s="720"/>
      <c r="Z792" s="720"/>
      <c r="AA792" s="720"/>
      <c r="AB792" s="720"/>
    </row>
    <row r="793" spans="1:28" ht="12.75" customHeight="1">
      <c r="A793" s="902"/>
      <c r="B793" s="903"/>
      <c r="C793" s="720"/>
      <c r="D793" s="720"/>
      <c r="E793" s="720"/>
      <c r="F793" s="720"/>
      <c r="G793" s="906"/>
      <c r="H793" s="720"/>
      <c r="I793" s="720"/>
      <c r="J793" s="720"/>
      <c r="K793" s="907"/>
      <c r="L793" s="720"/>
      <c r="M793" s="720"/>
      <c r="N793" s="720"/>
      <c r="O793" s="720"/>
      <c r="P793" s="720"/>
      <c r="Q793" s="720"/>
      <c r="R793" s="720"/>
      <c r="S793" s="720"/>
      <c r="T793" s="720"/>
      <c r="U793" s="720"/>
      <c r="V793" s="720"/>
      <c r="W793" s="720"/>
      <c r="X793" s="720"/>
      <c r="Y793" s="720"/>
      <c r="Z793" s="720"/>
      <c r="AA793" s="720"/>
      <c r="AB793" s="720"/>
    </row>
    <row r="794" spans="1:28" ht="12.75" customHeight="1">
      <c r="A794" s="902"/>
      <c r="B794" s="903"/>
      <c r="C794" s="720"/>
      <c r="D794" s="720"/>
      <c r="E794" s="720"/>
      <c r="F794" s="720"/>
      <c r="G794" s="906"/>
      <c r="H794" s="720"/>
      <c r="I794" s="720"/>
      <c r="J794" s="720"/>
      <c r="K794" s="907"/>
      <c r="L794" s="720"/>
      <c r="M794" s="720"/>
      <c r="N794" s="720"/>
      <c r="O794" s="720"/>
      <c r="P794" s="720"/>
      <c r="Q794" s="720"/>
      <c r="R794" s="720"/>
      <c r="S794" s="720"/>
      <c r="T794" s="720"/>
      <c r="U794" s="720"/>
      <c r="V794" s="720"/>
      <c r="W794" s="720"/>
      <c r="X794" s="720"/>
      <c r="Y794" s="720"/>
      <c r="Z794" s="720"/>
      <c r="AA794" s="720"/>
      <c r="AB794" s="720"/>
    </row>
    <row r="795" spans="1:28" ht="12.75" customHeight="1">
      <c r="A795" s="902"/>
      <c r="B795" s="903"/>
      <c r="C795" s="720"/>
      <c r="D795" s="720"/>
      <c r="E795" s="720"/>
      <c r="F795" s="720"/>
      <c r="G795" s="906"/>
      <c r="H795" s="720"/>
      <c r="I795" s="720"/>
      <c r="J795" s="720"/>
      <c r="K795" s="907"/>
      <c r="L795" s="720"/>
      <c r="M795" s="720"/>
      <c r="N795" s="720"/>
      <c r="O795" s="720"/>
      <c r="P795" s="720"/>
      <c r="Q795" s="720"/>
      <c r="R795" s="720"/>
      <c r="S795" s="720"/>
      <c r="T795" s="720"/>
      <c r="U795" s="720"/>
      <c r="V795" s="720"/>
      <c r="W795" s="720"/>
      <c r="X795" s="720"/>
      <c r="Y795" s="720"/>
      <c r="Z795" s="720"/>
      <c r="AA795" s="720"/>
      <c r="AB795" s="720"/>
    </row>
    <row r="796" spans="1:28" ht="12.75" customHeight="1">
      <c r="A796" s="902"/>
      <c r="B796" s="903"/>
      <c r="C796" s="720"/>
      <c r="D796" s="720"/>
      <c r="E796" s="720"/>
      <c r="F796" s="720"/>
      <c r="G796" s="906"/>
      <c r="H796" s="720"/>
      <c r="I796" s="720"/>
      <c r="J796" s="720"/>
      <c r="K796" s="907"/>
      <c r="L796" s="720"/>
      <c r="M796" s="720"/>
      <c r="N796" s="720"/>
      <c r="O796" s="720"/>
      <c r="P796" s="720"/>
      <c r="Q796" s="720"/>
      <c r="R796" s="720"/>
      <c r="S796" s="720"/>
      <c r="T796" s="720"/>
      <c r="U796" s="720"/>
      <c r="V796" s="720"/>
      <c r="W796" s="720"/>
      <c r="X796" s="720"/>
      <c r="Y796" s="720"/>
      <c r="Z796" s="720"/>
      <c r="AA796" s="720"/>
      <c r="AB796" s="720"/>
    </row>
    <row r="797" spans="1:28" ht="12.75" customHeight="1">
      <c r="A797" s="902"/>
      <c r="B797" s="903"/>
      <c r="C797" s="720"/>
      <c r="D797" s="720"/>
      <c r="E797" s="720"/>
      <c r="F797" s="720"/>
      <c r="G797" s="906"/>
      <c r="H797" s="720"/>
      <c r="I797" s="720"/>
      <c r="J797" s="720"/>
      <c r="K797" s="907"/>
      <c r="L797" s="720"/>
      <c r="M797" s="720"/>
      <c r="N797" s="720"/>
      <c r="O797" s="720"/>
      <c r="P797" s="720"/>
      <c r="Q797" s="720"/>
      <c r="R797" s="720"/>
      <c r="S797" s="720"/>
      <c r="T797" s="720"/>
      <c r="U797" s="720"/>
      <c r="V797" s="720"/>
      <c r="W797" s="720"/>
      <c r="X797" s="720"/>
      <c r="Y797" s="720"/>
      <c r="Z797" s="720"/>
      <c r="AA797" s="720"/>
      <c r="AB797" s="720"/>
    </row>
    <row r="798" spans="1:28" ht="12.75" customHeight="1">
      <c r="A798" s="902"/>
      <c r="B798" s="903"/>
      <c r="C798" s="720"/>
      <c r="D798" s="720"/>
      <c r="E798" s="720"/>
      <c r="F798" s="720"/>
      <c r="G798" s="906"/>
      <c r="H798" s="720"/>
      <c r="I798" s="720"/>
      <c r="J798" s="720"/>
      <c r="K798" s="907"/>
      <c r="L798" s="720"/>
      <c r="M798" s="720"/>
      <c r="N798" s="720"/>
      <c r="O798" s="720"/>
      <c r="P798" s="720"/>
      <c r="Q798" s="720"/>
      <c r="R798" s="720"/>
      <c r="S798" s="720"/>
      <c r="T798" s="720"/>
      <c r="U798" s="720"/>
      <c r="V798" s="720"/>
      <c r="W798" s="720"/>
      <c r="X798" s="720"/>
      <c r="Y798" s="720"/>
      <c r="Z798" s="720"/>
      <c r="AA798" s="720"/>
      <c r="AB798" s="720"/>
    </row>
    <row r="799" spans="1:28" ht="12.75" customHeight="1">
      <c r="A799" s="902"/>
      <c r="B799" s="903"/>
      <c r="C799" s="720"/>
      <c r="D799" s="720"/>
      <c r="E799" s="720"/>
      <c r="F799" s="720"/>
      <c r="G799" s="906"/>
      <c r="H799" s="720"/>
      <c r="I799" s="720"/>
      <c r="J799" s="720"/>
      <c r="K799" s="907"/>
      <c r="L799" s="720"/>
      <c r="M799" s="720"/>
      <c r="N799" s="720"/>
      <c r="O799" s="720"/>
      <c r="P799" s="720"/>
      <c r="Q799" s="720"/>
      <c r="R799" s="720"/>
      <c r="S799" s="720"/>
      <c r="T799" s="720"/>
      <c r="U799" s="720"/>
      <c r="V799" s="720"/>
      <c r="W799" s="720"/>
      <c r="X799" s="720"/>
      <c r="Y799" s="720"/>
      <c r="Z799" s="720"/>
      <c r="AA799" s="720"/>
      <c r="AB799" s="720"/>
    </row>
    <row r="800" spans="1:28" ht="12.75" customHeight="1">
      <c r="A800" s="902"/>
      <c r="B800" s="903"/>
      <c r="C800" s="720"/>
      <c r="D800" s="720"/>
      <c r="E800" s="720"/>
      <c r="F800" s="720"/>
      <c r="G800" s="906"/>
      <c r="H800" s="720"/>
      <c r="I800" s="720"/>
      <c r="J800" s="720"/>
      <c r="K800" s="907"/>
      <c r="L800" s="720"/>
      <c r="M800" s="720"/>
      <c r="N800" s="720"/>
      <c r="O800" s="720"/>
      <c r="P800" s="720"/>
      <c r="Q800" s="720"/>
      <c r="R800" s="720"/>
      <c r="S800" s="720"/>
      <c r="T800" s="720"/>
      <c r="U800" s="720"/>
      <c r="V800" s="720"/>
      <c r="W800" s="720"/>
      <c r="X800" s="720"/>
      <c r="Y800" s="720"/>
      <c r="Z800" s="720"/>
      <c r="AA800" s="720"/>
      <c r="AB800" s="720"/>
    </row>
    <row r="801" spans="1:28" ht="12.75" customHeight="1">
      <c r="A801" s="902"/>
      <c r="B801" s="903"/>
      <c r="C801" s="720"/>
      <c r="D801" s="720"/>
      <c r="E801" s="720"/>
      <c r="F801" s="720"/>
      <c r="G801" s="906"/>
      <c r="H801" s="720"/>
      <c r="I801" s="720"/>
      <c r="J801" s="720"/>
      <c r="K801" s="907"/>
      <c r="L801" s="720"/>
      <c r="M801" s="720"/>
      <c r="N801" s="720"/>
      <c r="O801" s="720"/>
      <c r="P801" s="720"/>
      <c r="Q801" s="720"/>
      <c r="R801" s="720"/>
      <c r="S801" s="720"/>
      <c r="T801" s="720"/>
      <c r="U801" s="720"/>
      <c r="V801" s="720"/>
      <c r="W801" s="720"/>
      <c r="X801" s="720"/>
      <c r="Y801" s="720"/>
      <c r="Z801" s="720"/>
      <c r="AA801" s="720"/>
      <c r="AB801" s="720"/>
    </row>
    <row r="802" spans="1:28" ht="12.75" customHeight="1">
      <c r="A802" s="902"/>
      <c r="B802" s="903"/>
      <c r="C802" s="720"/>
      <c r="D802" s="720"/>
      <c r="E802" s="720"/>
      <c r="F802" s="720"/>
      <c r="G802" s="906"/>
      <c r="H802" s="720"/>
      <c r="I802" s="720"/>
      <c r="J802" s="720"/>
      <c r="K802" s="907"/>
      <c r="L802" s="720"/>
      <c r="M802" s="720"/>
      <c r="N802" s="720"/>
      <c r="O802" s="720"/>
      <c r="P802" s="720"/>
      <c r="Q802" s="720"/>
      <c r="R802" s="720"/>
      <c r="S802" s="720"/>
      <c r="T802" s="720"/>
      <c r="U802" s="720"/>
      <c r="V802" s="720"/>
      <c r="W802" s="720"/>
      <c r="X802" s="720"/>
      <c r="Y802" s="720"/>
      <c r="Z802" s="720"/>
      <c r="AA802" s="720"/>
      <c r="AB802" s="720"/>
    </row>
    <row r="803" spans="1:28" ht="12.75" customHeight="1">
      <c r="A803" s="902"/>
      <c r="B803" s="903"/>
      <c r="C803" s="720"/>
      <c r="D803" s="720"/>
      <c r="E803" s="720"/>
      <c r="F803" s="720"/>
      <c r="G803" s="906"/>
      <c r="H803" s="720"/>
      <c r="I803" s="720"/>
      <c r="J803" s="720"/>
      <c r="K803" s="907"/>
      <c r="L803" s="720"/>
      <c r="M803" s="720"/>
      <c r="N803" s="720"/>
      <c r="O803" s="720"/>
      <c r="P803" s="720"/>
      <c r="Q803" s="720"/>
      <c r="R803" s="720"/>
      <c r="S803" s="720"/>
      <c r="T803" s="720"/>
      <c r="U803" s="720"/>
      <c r="V803" s="720"/>
      <c r="W803" s="720"/>
      <c r="X803" s="720"/>
      <c r="Y803" s="720"/>
      <c r="Z803" s="720"/>
      <c r="AA803" s="720"/>
      <c r="AB803" s="720"/>
    </row>
    <row r="804" spans="1:28" ht="12.75" customHeight="1">
      <c r="A804" s="902"/>
      <c r="B804" s="903"/>
      <c r="C804" s="720"/>
      <c r="D804" s="720"/>
      <c r="E804" s="720"/>
      <c r="F804" s="720"/>
      <c r="G804" s="906"/>
      <c r="H804" s="720"/>
      <c r="I804" s="720"/>
      <c r="J804" s="720"/>
      <c r="K804" s="907"/>
      <c r="L804" s="720"/>
      <c r="M804" s="720"/>
      <c r="N804" s="720"/>
      <c r="O804" s="720"/>
      <c r="P804" s="720"/>
      <c r="Q804" s="720"/>
      <c r="R804" s="720"/>
      <c r="S804" s="720"/>
      <c r="T804" s="720"/>
      <c r="U804" s="720"/>
      <c r="V804" s="720"/>
      <c r="W804" s="720"/>
      <c r="X804" s="720"/>
      <c r="Y804" s="720"/>
      <c r="Z804" s="720"/>
      <c r="AA804" s="720"/>
      <c r="AB804" s="720"/>
    </row>
    <row r="805" spans="1:28" ht="12.75" customHeight="1">
      <c r="A805" s="902"/>
      <c r="B805" s="903"/>
      <c r="C805" s="720"/>
      <c r="D805" s="720"/>
      <c r="E805" s="720"/>
      <c r="F805" s="720"/>
      <c r="G805" s="906"/>
      <c r="H805" s="720"/>
      <c r="I805" s="720"/>
      <c r="J805" s="720"/>
      <c r="K805" s="907"/>
      <c r="L805" s="720"/>
      <c r="M805" s="720"/>
      <c r="N805" s="720"/>
      <c r="O805" s="720"/>
      <c r="P805" s="720"/>
      <c r="Q805" s="720"/>
      <c r="R805" s="720"/>
      <c r="S805" s="720"/>
      <c r="T805" s="720"/>
      <c r="U805" s="720"/>
      <c r="V805" s="720"/>
      <c r="W805" s="720"/>
      <c r="X805" s="720"/>
      <c r="Y805" s="720"/>
      <c r="Z805" s="720"/>
      <c r="AA805" s="720"/>
      <c r="AB805" s="720"/>
    </row>
    <row r="806" spans="1:28" ht="12.75" customHeight="1">
      <c r="A806" s="902"/>
      <c r="B806" s="903"/>
      <c r="C806" s="720"/>
      <c r="D806" s="720"/>
      <c r="E806" s="720"/>
      <c r="F806" s="720"/>
      <c r="G806" s="906"/>
      <c r="H806" s="720"/>
      <c r="I806" s="720"/>
      <c r="J806" s="720"/>
      <c r="K806" s="907"/>
      <c r="L806" s="720"/>
      <c r="M806" s="720"/>
      <c r="N806" s="720"/>
      <c r="O806" s="720"/>
      <c r="P806" s="720"/>
      <c r="Q806" s="720"/>
      <c r="R806" s="720"/>
      <c r="S806" s="720"/>
      <c r="T806" s="720"/>
      <c r="U806" s="720"/>
      <c r="V806" s="720"/>
      <c r="W806" s="720"/>
      <c r="X806" s="720"/>
      <c r="Y806" s="720"/>
      <c r="Z806" s="720"/>
      <c r="AA806" s="720"/>
      <c r="AB806" s="720"/>
    </row>
    <row r="807" spans="1:28" ht="12.75" customHeight="1">
      <c r="A807" s="902"/>
      <c r="B807" s="903"/>
      <c r="C807" s="720"/>
      <c r="D807" s="720"/>
      <c r="E807" s="720"/>
      <c r="F807" s="720"/>
      <c r="G807" s="906"/>
      <c r="H807" s="720"/>
      <c r="I807" s="720"/>
      <c r="J807" s="720"/>
      <c r="K807" s="907"/>
      <c r="L807" s="720"/>
      <c r="M807" s="720"/>
      <c r="N807" s="720"/>
      <c r="O807" s="720"/>
      <c r="P807" s="720"/>
      <c r="Q807" s="720"/>
      <c r="R807" s="720"/>
      <c r="S807" s="720"/>
      <c r="T807" s="720"/>
      <c r="U807" s="720"/>
      <c r="V807" s="720"/>
      <c r="W807" s="720"/>
      <c r="X807" s="720"/>
      <c r="Y807" s="720"/>
      <c r="Z807" s="720"/>
      <c r="AA807" s="720"/>
      <c r="AB807" s="720"/>
    </row>
    <row r="808" spans="1:28" ht="12.75" customHeight="1">
      <c r="A808" s="902"/>
      <c r="B808" s="903"/>
      <c r="C808" s="720"/>
      <c r="D808" s="720"/>
      <c r="E808" s="720"/>
      <c r="F808" s="720"/>
      <c r="G808" s="906"/>
      <c r="H808" s="720"/>
      <c r="I808" s="720"/>
      <c r="J808" s="720"/>
      <c r="K808" s="907"/>
      <c r="L808" s="720"/>
      <c r="M808" s="720"/>
      <c r="N808" s="720"/>
      <c r="O808" s="720"/>
      <c r="P808" s="720"/>
      <c r="Q808" s="720"/>
      <c r="R808" s="720"/>
      <c r="S808" s="720"/>
      <c r="T808" s="720"/>
      <c r="U808" s="720"/>
      <c r="V808" s="720"/>
      <c r="W808" s="720"/>
      <c r="X808" s="720"/>
      <c r="Y808" s="720"/>
      <c r="Z808" s="720"/>
      <c r="AA808" s="720"/>
      <c r="AB808" s="720"/>
    </row>
    <row r="809" spans="1:28" ht="12.75" customHeight="1">
      <c r="A809" s="902"/>
      <c r="B809" s="903"/>
      <c r="C809" s="720"/>
      <c r="D809" s="720"/>
      <c r="E809" s="720"/>
      <c r="F809" s="720"/>
      <c r="G809" s="906"/>
      <c r="H809" s="720"/>
      <c r="I809" s="720"/>
      <c r="J809" s="720"/>
      <c r="K809" s="907"/>
      <c r="L809" s="720"/>
      <c r="M809" s="720"/>
      <c r="N809" s="720"/>
      <c r="O809" s="720"/>
      <c r="P809" s="720"/>
      <c r="Q809" s="720"/>
      <c r="R809" s="720"/>
      <c r="S809" s="720"/>
      <c r="T809" s="720"/>
      <c r="U809" s="720"/>
      <c r="V809" s="720"/>
      <c r="W809" s="720"/>
      <c r="X809" s="720"/>
      <c r="Y809" s="720"/>
      <c r="Z809" s="720"/>
      <c r="AA809" s="720"/>
      <c r="AB809" s="720"/>
    </row>
    <row r="810" spans="1:28" ht="12.75" customHeight="1">
      <c r="A810" s="902"/>
      <c r="B810" s="903"/>
      <c r="C810" s="720"/>
      <c r="D810" s="720"/>
      <c r="E810" s="720"/>
      <c r="F810" s="720"/>
      <c r="G810" s="906"/>
      <c r="H810" s="720"/>
      <c r="I810" s="720"/>
      <c r="J810" s="720"/>
      <c r="K810" s="907"/>
      <c r="L810" s="720"/>
      <c r="M810" s="720"/>
      <c r="N810" s="720"/>
      <c r="O810" s="720"/>
      <c r="P810" s="720"/>
      <c r="Q810" s="720"/>
      <c r="R810" s="720"/>
      <c r="S810" s="720"/>
      <c r="T810" s="720"/>
      <c r="U810" s="720"/>
      <c r="V810" s="720"/>
      <c r="W810" s="720"/>
      <c r="X810" s="720"/>
      <c r="Y810" s="720"/>
      <c r="Z810" s="720"/>
      <c r="AA810" s="720"/>
      <c r="AB810" s="720"/>
    </row>
    <row r="811" spans="1:28" ht="12.75" customHeight="1">
      <c r="A811" s="902"/>
      <c r="B811" s="903"/>
      <c r="C811" s="720"/>
      <c r="D811" s="720"/>
      <c r="E811" s="720"/>
      <c r="F811" s="720"/>
      <c r="G811" s="906"/>
      <c r="H811" s="720"/>
      <c r="I811" s="720"/>
      <c r="J811" s="720"/>
      <c r="K811" s="907"/>
      <c r="L811" s="720"/>
      <c r="M811" s="720"/>
      <c r="N811" s="720"/>
      <c r="O811" s="720"/>
      <c r="P811" s="720"/>
      <c r="Q811" s="720"/>
      <c r="R811" s="720"/>
      <c r="S811" s="720"/>
      <c r="T811" s="720"/>
      <c r="U811" s="720"/>
      <c r="V811" s="720"/>
      <c r="W811" s="720"/>
      <c r="X811" s="720"/>
      <c r="Y811" s="720"/>
      <c r="Z811" s="720"/>
      <c r="AA811" s="720"/>
      <c r="AB811" s="720"/>
    </row>
    <row r="812" spans="1:28" ht="12.75" customHeight="1">
      <c r="A812" s="902"/>
      <c r="B812" s="903"/>
      <c r="C812" s="720"/>
      <c r="D812" s="720"/>
      <c r="E812" s="720"/>
      <c r="F812" s="720"/>
      <c r="G812" s="906"/>
      <c r="H812" s="720"/>
      <c r="I812" s="720"/>
      <c r="J812" s="720"/>
      <c r="K812" s="907"/>
      <c r="L812" s="720"/>
      <c r="M812" s="720"/>
      <c r="N812" s="720"/>
      <c r="O812" s="720"/>
      <c r="P812" s="720"/>
      <c r="Q812" s="720"/>
      <c r="R812" s="720"/>
      <c r="S812" s="720"/>
      <c r="T812" s="720"/>
      <c r="U812" s="720"/>
      <c r="V812" s="720"/>
      <c r="W812" s="720"/>
      <c r="X812" s="720"/>
      <c r="Y812" s="720"/>
      <c r="Z812" s="720"/>
      <c r="AA812" s="720"/>
      <c r="AB812" s="720"/>
    </row>
    <row r="813" spans="1:28" ht="12.75" customHeight="1">
      <c r="A813" s="902"/>
      <c r="B813" s="903"/>
      <c r="C813" s="720"/>
      <c r="D813" s="720"/>
      <c r="E813" s="720"/>
      <c r="F813" s="720"/>
      <c r="G813" s="906"/>
      <c r="H813" s="720"/>
      <c r="I813" s="720"/>
      <c r="J813" s="720"/>
      <c r="K813" s="907"/>
      <c r="L813" s="720"/>
      <c r="M813" s="720"/>
      <c r="N813" s="720"/>
      <c r="O813" s="720"/>
      <c r="P813" s="720"/>
      <c r="Q813" s="720"/>
      <c r="R813" s="720"/>
      <c r="S813" s="720"/>
      <c r="T813" s="720"/>
      <c r="U813" s="720"/>
      <c r="V813" s="720"/>
      <c r="W813" s="720"/>
      <c r="X813" s="720"/>
      <c r="Y813" s="720"/>
      <c r="Z813" s="720"/>
      <c r="AA813" s="720"/>
      <c r="AB813" s="720"/>
    </row>
    <row r="814" spans="1:28" ht="12.75" customHeight="1">
      <c r="A814" s="902"/>
      <c r="B814" s="903"/>
      <c r="C814" s="720"/>
      <c r="D814" s="720"/>
      <c r="E814" s="720"/>
      <c r="F814" s="720"/>
      <c r="G814" s="906"/>
      <c r="H814" s="720"/>
      <c r="I814" s="720"/>
      <c r="J814" s="720"/>
      <c r="K814" s="907"/>
      <c r="L814" s="720"/>
      <c r="M814" s="720"/>
      <c r="N814" s="720"/>
      <c r="O814" s="720"/>
      <c r="P814" s="720"/>
      <c r="Q814" s="720"/>
      <c r="R814" s="720"/>
      <c r="S814" s="720"/>
      <c r="T814" s="720"/>
      <c r="U814" s="720"/>
      <c r="V814" s="720"/>
      <c r="W814" s="720"/>
      <c r="X814" s="720"/>
      <c r="Y814" s="720"/>
      <c r="Z814" s="720"/>
      <c r="AA814" s="720"/>
      <c r="AB814" s="720"/>
    </row>
    <row r="815" spans="1:28" ht="12.75" customHeight="1">
      <c r="A815" s="902"/>
      <c r="B815" s="903"/>
      <c r="C815" s="720"/>
      <c r="D815" s="720"/>
      <c r="E815" s="720"/>
      <c r="F815" s="720"/>
      <c r="G815" s="906"/>
      <c r="H815" s="720"/>
      <c r="I815" s="720"/>
      <c r="J815" s="720"/>
      <c r="K815" s="907"/>
      <c r="L815" s="720"/>
      <c r="M815" s="720"/>
      <c r="N815" s="720"/>
      <c r="O815" s="720"/>
      <c r="P815" s="720"/>
      <c r="Q815" s="720"/>
      <c r="R815" s="720"/>
      <c r="S815" s="720"/>
      <c r="T815" s="720"/>
      <c r="U815" s="720"/>
      <c r="V815" s="720"/>
      <c r="W815" s="720"/>
      <c r="X815" s="720"/>
      <c r="Y815" s="720"/>
      <c r="Z815" s="720"/>
      <c r="AA815" s="720"/>
      <c r="AB815" s="720"/>
    </row>
    <row r="816" spans="1:28" ht="12.75" customHeight="1">
      <c r="A816" s="902"/>
      <c r="B816" s="903"/>
      <c r="C816" s="720"/>
      <c r="D816" s="720"/>
      <c r="E816" s="720"/>
      <c r="F816" s="720"/>
      <c r="G816" s="906"/>
      <c r="H816" s="720"/>
      <c r="I816" s="720"/>
      <c r="J816" s="720"/>
      <c r="K816" s="907"/>
      <c r="L816" s="720"/>
      <c r="M816" s="720"/>
      <c r="N816" s="720"/>
      <c r="O816" s="720"/>
      <c r="P816" s="720"/>
      <c r="Q816" s="720"/>
      <c r="R816" s="720"/>
      <c r="S816" s="720"/>
      <c r="T816" s="720"/>
      <c r="U816" s="720"/>
      <c r="V816" s="720"/>
      <c r="W816" s="720"/>
      <c r="X816" s="720"/>
      <c r="Y816" s="720"/>
      <c r="Z816" s="720"/>
      <c r="AA816" s="720"/>
      <c r="AB816" s="720"/>
    </row>
    <row r="817" spans="1:28" ht="12.75" customHeight="1">
      <c r="A817" s="902"/>
      <c r="B817" s="903"/>
      <c r="C817" s="720"/>
      <c r="D817" s="720"/>
      <c r="E817" s="720"/>
      <c r="F817" s="720"/>
      <c r="G817" s="906"/>
      <c r="H817" s="720"/>
      <c r="I817" s="720"/>
      <c r="J817" s="720"/>
      <c r="K817" s="907"/>
      <c r="L817" s="720"/>
      <c r="M817" s="720"/>
      <c r="N817" s="720"/>
      <c r="O817" s="720"/>
      <c r="P817" s="720"/>
      <c r="Q817" s="720"/>
      <c r="R817" s="720"/>
      <c r="S817" s="720"/>
      <c r="T817" s="720"/>
      <c r="U817" s="720"/>
      <c r="V817" s="720"/>
      <c r="W817" s="720"/>
      <c r="X817" s="720"/>
      <c r="Y817" s="720"/>
      <c r="Z817" s="720"/>
      <c r="AA817" s="720"/>
      <c r="AB817" s="720"/>
    </row>
    <row r="818" spans="1:28" ht="12.75" customHeight="1">
      <c r="A818" s="902"/>
      <c r="B818" s="903"/>
      <c r="C818" s="720"/>
      <c r="D818" s="720"/>
      <c r="E818" s="720"/>
      <c r="F818" s="720"/>
      <c r="G818" s="906"/>
      <c r="H818" s="720"/>
      <c r="I818" s="720"/>
      <c r="J818" s="720"/>
      <c r="K818" s="907"/>
      <c r="L818" s="720"/>
      <c r="M818" s="720"/>
      <c r="N818" s="720"/>
      <c r="O818" s="720"/>
      <c r="P818" s="720"/>
      <c r="Q818" s="720"/>
      <c r="R818" s="720"/>
      <c r="S818" s="720"/>
      <c r="T818" s="720"/>
      <c r="U818" s="720"/>
      <c r="V818" s="720"/>
      <c r="W818" s="720"/>
      <c r="X818" s="720"/>
      <c r="Y818" s="720"/>
      <c r="Z818" s="720"/>
      <c r="AA818" s="720"/>
      <c r="AB818" s="720"/>
    </row>
    <row r="819" spans="1:28" ht="12.75" customHeight="1">
      <c r="A819" s="902"/>
      <c r="B819" s="903"/>
      <c r="C819" s="720"/>
      <c r="D819" s="720"/>
      <c r="E819" s="720"/>
      <c r="F819" s="720"/>
      <c r="G819" s="906"/>
      <c r="H819" s="720"/>
      <c r="I819" s="720"/>
      <c r="J819" s="720"/>
      <c r="K819" s="907"/>
      <c r="L819" s="720"/>
      <c r="M819" s="720"/>
      <c r="N819" s="720"/>
      <c r="O819" s="720"/>
      <c r="P819" s="720"/>
      <c r="Q819" s="720"/>
      <c r="R819" s="720"/>
      <c r="S819" s="720"/>
      <c r="T819" s="720"/>
      <c r="U819" s="720"/>
      <c r="V819" s="720"/>
      <c r="W819" s="720"/>
      <c r="X819" s="720"/>
      <c r="Y819" s="720"/>
      <c r="Z819" s="720"/>
      <c r="AA819" s="720"/>
      <c r="AB819" s="720"/>
    </row>
    <row r="820" spans="1:28" ht="12.75" customHeight="1">
      <c r="A820" s="902"/>
      <c r="B820" s="903"/>
      <c r="C820" s="720"/>
      <c r="D820" s="720"/>
      <c r="E820" s="720"/>
      <c r="F820" s="720"/>
      <c r="G820" s="906"/>
      <c r="H820" s="720"/>
      <c r="I820" s="720"/>
      <c r="J820" s="720"/>
      <c r="K820" s="907"/>
      <c r="L820" s="720"/>
      <c r="M820" s="720"/>
      <c r="N820" s="720"/>
      <c r="O820" s="720"/>
      <c r="P820" s="720"/>
      <c r="Q820" s="720"/>
      <c r="R820" s="720"/>
      <c r="S820" s="720"/>
      <c r="T820" s="720"/>
      <c r="U820" s="720"/>
      <c r="V820" s="720"/>
      <c r="W820" s="720"/>
      <c r="X820" s="720"/>
      <c r="Y820" s="720"/>
      <c r="Z820" s="720"/>
      <c r="AA820" s="720"/>
      <c r="AB820" s="720"/>
    </row>
    <row r="821" spans="1:28" ht="12.75" customHeight="1">
      <c r="A821" s="902"/>
      <c r="B821" s="903"/>
      <c r="C821" s="720"/>
      <c r="D821" s="720"/>
      <c r="E821" s="720"/>
      <c r="F821" s="720"/>
      <c r="G821" s="906"/>
      <c r="H821" s="720"/>
      <c r="I821" s="720"/>
      <c r="J821" s="720"/>
      <c r="K821" s="907"/>
      <c r="L821" s="720"/>
      <c r="M821" s="720"/>
      <c r="N821" s="720"/>
      <c r="O821" s="720"/>
      <c r="P821" s="720"/>
      <c r="Q821" s="720"/>
      <c r="R821" s="720"/>
      <c r="S821" s="720"/>
      <c r="T821" s="720"/>
      <c r="U821" s="720"/>
      <c r="V821" s="720"/>
      <c r="W821" s="720"/>
      <c r="X821" s="720"/>
      <c r="Y821" s="720"/>
      <c r="Z821" s="720"/>
      <c r="AA821" s="720"/>
      <c r="AB821" s="720"/>
    </row>
    <row r="822" spans="1:28" ht="12.75" customHeight="1">
      <c r="A822" s="902"/>
      <c r="B822" s="903"/>
      <c r="C822" s="720"/>
      <c r="D822" s="720"/>
      <c r="E822" s="720"/>
      <c r="F822" s="720"/>
      <c r="G822" s="906"/>
      <c r="H822" s="720"/>
      <c r="I822" s="720"/>
      <c r="J822" s="720"/>
      <c r="K822" s="907"/>
      <c r="L822" s="720"/>
      <c r="M822" s="720"/>
      <c r="N822" s="720"/>
      <c r="O822" s="720"/>
      <c r="P822" s="720"/>
      <c r="Q822" s="720"/>
      <c r="R822" s="720"/>
      <c r="S822" s="720"/>
      <c r="T822" s="720"/>
      <c r="U822" s="720"/>
      <c r="V822" s="720"/>
      <c r="W822" s="720"/>
      <c r="X822" s="720"/>
      <c r="Y822" s="720"/>
      <c r="Z822" s="720"/>
      <c r="AA822" s="720"/>
      <c r="AB822" s="720"/>
    </row>
    <row r="823" spans="1:28" ht="12.75" customHeight="1">
      <c r="A823" s="902"/>
      <c r="B823" s="903"/>
      <c r="C823" s="720"/>
      <c r="D823" s="720"/>
      <c r="E823" s="720"/>
      <c r="F823" s="720"/>
      <c r="G823" s="906"/>
      <c r="H823" s="720"/>
      <c r="I823" s="720"/>
      <c r="J823" s="720"/>
      <c r="K823" s="907"/>
      <c r="L823" s="720"/>
      <c r="M823" s="720"/>
      <c r="N823" s="720"/>
      <c r="O823" s="720"/>
      <c r="P823" s="720"/>
      <c r="Q823" s="720"/>
      <c r="R823" s="720"/>
      <c r="S823" s="720"/>
      <c r="T823" s="720"/>
      <c r="U823" s="720"/>
      <c r="V823" s="720"/>
      <c r="W823" s="720"/>
      <c r="X823" s="720"/>
      <c r="Y823" s="720"/>
      <c r="Z823" s="720"/>
      <c r="AA823" s="720"/>
      <c r="AB823" s="720"/>
    </row>
    <row r="824" spans="1:28" ht="12.75" customHeight="1">
      <c r="A824" s="902"/>
      <c r="B824" s="903"/>
      <c r="C824" s="720"/>
      <c r="D824" s="720"/>
      <c r="E824" s="720"/>
      <c r="F824" s="720"/>
      <c r="G824" s="906"/>
      <c r="H824" s="720"/>
      <c r="I824" s="720"/>
      <c r="J824" s="720"/>
      <c r="K824" s="907"/>
      <c r="L824" s="720"/>
      <c r="M824" s="720"/>
      <c r="N824" s="720"/>
      <c r="O824" s="720"/>
      <c r="P824" s="720"/>
      <c r="Q824" s="720"/>
      <c r="R824" s="720"/>
      <c r="S824" s="720"/>
      <c r="T824" s="720"/>
      <c r="U824" s="720"/>
      <c r="V824" s="720"/>
      <c r="W824" s="720"/>
      <c r="X824" s="720"/>
      <c r="Y824" s="720"/>
      <c r="Z824" s="720"/>
      <c r="AA824" s="720"/>
      <c r="AB824" s="720"/>
    </row>
    <row r="825" spans="1:28" ht="12.75" customHeight="1">
      <c r="A825" s="902"/>
      <c r="B825" s="903"/>
      <c r="C825" s="720"/>
      <c r="D825" s="720"/>
      <c r="E825" s="720"/>
      <c r="F825" s="720"/>
      <c r="G825" s="906"/>
      <c r="H825" s="720"/>
      <c r="I825" s="720"/>
      <c r="J825" s="720"/>
      <c r="K825" s="907"/>
      <c r="L825" s="720"/>
      <c r="M825" s="720"/>
      <c r="N825" s="720"/>
      <c r="O825" s="720"/>
      <c r="P825" s="720"/>
      <c r="Q825" s="720"/>
      <c r="R825" s="720"/>
      <c r="S825" s="720"/>
      <c r="T825" s="720"/>
      <c r="U825" s="720"/>
      <c r="V825" s="720"/>
      <c r="W825" s="720"/>
      <c r="X825" s="720"/>
      <c r="Y825" s="720"/>
      <c r="Z825" s="720"/>
      <c r="AA825" s="720"/>
      <c r="AB825" s="720"/>
    </row>
    <row r="826" spans="1:28" ht="12.75" customHeight="1">
      <c r="A826" s="902"/>
      <c r="B826" s="903"/>
      <c r="C826" s="720"/>
      <c r="D826" s="720"/>
      <c r="E826" s="720"/>
      <c r="F826" s="720"/>
      <c r="G826" s="906"/>
      <c r="H826" s="720"/>
      <c r="I826" s="720"/>
      <c r="J826" s="720"/>
      <c r="K826" s="907"/>
      <c r="L826" s="720"/>
      <c r="M826" s="720"/>
      <c r="N826" s="720"/>
      <c r="O826" s="720"/>
      <c r="P826" s="720"/>
      <c r="Q826" s="720"/>
      <c r="R826" s="720"/>
      <c r="S826" s="720"/>
      <c r="T826" s="720"/>
      <c r="U826" s="720"/>
      <c r="V826" s="720"/>
      <c r="W826" s="720"/>
      <c r="X826" s="720"/>
      <c r="Y826" s="720"/>
      <c r="Z826" s="720"/>
      <c r="AA826" s="720"/>
      <c r="AB826" s="720"/>
    </row>
    <row r="827" spans="1:28" ht="12.75" customHeight="1">
      <c r="A827" s="902"/>
      <c r="B827" s="903"/>
      <c r="C827" s="720"/>
      <c r="D827" s="720"/>
      <c r="E827" s="720"/>
      <c r="F827" s="720"/>
      <c r="G827" s="906"/>
      <c r="H827" s="720"/>
      <c r="I827" s="720"/>
      <c r="J827" s="720"/>
      <c r="K827" s="907"/>
      <c r="L827" s="720"/>
      <c r="M827" s="720"/>
      <c r="N827" s="720"/>
      <c r="O827" s="720"/>
      <c r="P827" s="720"/>
      <c r="Q827" s="720"/>
      <c r="R827" s="720"/>
      <c r="S827" s="720"/>
      <c r="T827" s="720"/>
      <c r="U827" s="720"/>
      <c r="V827" s="720"/>
      <c r="W827" s="720"/>
      <c r="X827" s="720"/>
      <c r="Y827" s="720"/>
      <c r="Z827" s="720"/>
      <c r="AA827" s="720"/>
      <c r="AB827" s="720"/>
    </row>
    <row r="828" spans="1:28" ht="12.75" customHeight="1">
      <c r="A828" s="902"/>
      <c r="B828" s="903"/>
      <c r="C828" s="720"/>
      <c r="D828" s="720"/>
      <c r="E828" s="720"/>
      <c r="F828" s="720"/>
      <c r="G828" s="906"/>
      <c r="H828" s="720"/>
      <c r="I828" s="720"/>
      <c r="J828" s="720"/>
      <c r="K828" s="907"/>
      <c r="L828" s="720"/>
      <c r="M828" s="720"/>
      <c r="N828" s="720"/>
      <c r="O828" s="720"/>
      <c r="P828" s="720"/>
      <c r="Q828" s="720"/>
      <c r="R828" s="720"/>
      <c r="S828" s="720"/>
      <c r="T828" s="720"/>
      <c r="U828" s="720"/>
      <c r="V828" s="720"/>
      <c r="W828" s="720"/>
      <c r="X828" s="720"/>
      <c r="Y828" s="720"/>
      <c r="Z828" s="720"/>
      <c r="AA828" s="720"/>
      <c r="AB828" s="720"/>
    </row>
    <row r="829" spans="1:28" ht="12.75" customHeight="1">
      <c r="A829" s="902"/>
      <c r="B829" s="903"/>
      <c r="C829" s="720"/>
      <c r="D829" s="720"/>
      <c r="E829" s="720"/>
      <c r="F829" s="720"/>
      <c r="G829" s="906"/>
      <c r="H829" s="720"/>
      <c r="I829" s="720"/>
      <c r="J829" s="720"/>
      <c r="K829" s="907"/>
      <c r="L829" s="720"/>
      <c r="M829" s="720"/>
      <c r="N829" s="720"/>
      <c r="O829" s="720"/>
      <c r="P829" s="720"/>
      <c r="Q829" s="720"/>
      <c r="R829" s="720"/>
      <c r="S829" s="720"/>
      <c r="T829" s="720"/>
      <c r="U829" s="720"/>
      <c r="V829" s="720"/>
      <c r="W829" s="720"/>
      <c r="X829" s="720"/>
      <c r="Y829" s="720"/>
      <c r="Z829" s="720"/>
      <c r="AA829" s="720"/>
      <c r="AB829" s="720"/>
    </row>
    <row r="830" spans="1:28" ht="12.75" customHeight="1">
      <c r="A830" s="902"/>
      <c r="B830" s="903"/>
      <c r="C830" s="720"/>
      <c r="D830" s="720"/>
      <c r="E830" s="720"/>
      <c r="F830" s="720"/>
      <c r="G830" s="906"/>
      <c r="H830" s="720"/>
      <c r="I830" s="720"/>
      <c r="J830" s="720"/>
      <c r="K830" s="907"/>
      <c r="L830" s="720"/>
      <c r="M830" s="720"/>
      <c r="N830" s="720"/>
      <c r="O830" s="720"/>
      <c r="P830" s="720"/>
      <c r="Q830" s="720"/>
      <c r="R830" s="720"/>
      <c r="S830" s="720"/>
      <c r="T830" s="720"/>
      <c r="U830" s="720"/>
      <c r="V830" s="720"/>
      <c r="W830" s="720"/>
      <c r="X830" s="720"/>
      <c r="Y830" s="720"/>
      <c r="Z830" s="720"/>
      <c r="AA830" s="720"/>
      <c r="AB830" s="720"/>
    </row>
    <row r="831" spans="1:28" ht="12.75" customHeight="1">
      <c r="A831" s="902"/>
      <c r="B831" s="903"/>
      <c r="C831" s="720"/>
      <c r="D831" s="720"/>
      <c r="E831" s="720"/>
      <c r="F831" s="720"/>
      <c r="G831" s="906"/>
      <c r="H831" s="720"/>
      <c r="I831" s="720"/>
      <c r="J831" s="720"/>
      <c r="K831" s="907"/>
      <c r="L831" s="720"/>
      <c r="M831" s="720"/>
      <c r="N831" s="720"/>
      <c r="O831" s="720"/>
      <c r="P831" s="720"/>
      <c r="Q831" s="720"/>
      <c r="R831" s="720"/>
      <c r="S831" s="720"/>
      <c r="T831" s="720"/>
      <c r="U831" s="720"/>
      <c r="V831" s="720"/>
      <c r="W831" s="720"/>
      <c r="X831" s="720"/>
      <c r="Y831" s="720"/>
      <c r="Z831" s="720"/>
      <c r="AA831" s="720"/>
      <c r="AB831" s="720"/>
    </row>
    <row r="832" spans="1:28" ht="12.75" customHeight="1">
      <c r="A832" s="902"/>
      <c r="B832" s="903"/>
      <c r="C832" s="720"/>
      <c r="D832" s="720"/>
      <c r="E832" s="720"/>
      <c r="F832" s="720"/>
      <c r="G832" s="906"/>
      <c r="H832" s="720"/>
      <c r="I832" s="720"/>
      <c r="J832" s="720"/>
      <c r="K832" s="907"/>
      <c r="L832" s="720"/>
      <c r="M832" s="720"/>
      <c r="N832" s="720"/>
      <c r="O832" s="720"/>
      <c r="P832" s="720"/>
      <c r="Q832" s="720"/>
      <c r="R832" s="720"/>
      <c r="S832" s="720"/>
      <c r="T832" s="720"/>
      <c r="U832" s="720"/>
      <c r="V832" s="720"/>
      <c r="W832" s="720"/>
      <c r="X832" s="720"/>
      <c r="Y832" s="720"/>
      <c r="Z832" s="720"/>
      <c r="AA832" s="720"/>
      <c r="AB832" s="720"/>
    </row>
    <row r="833" spans="1:28" ht="12.75" customHeight="1">
      <c r="A833" s="902"/>
      <c r="B833" s="903"/>
      <c r="C833" s="720"/>
      <c r="D833" s="720"/>
      <c r="E833" s="720"/>
      <c r="F833" s="720"/>
      <c r="G833" s="906"/>
      <c r="H833" s="720"/>
      <c r="I833" s="720"/>
      <c r="J833" s="720"/>
      <c r="K833" s="907"/>
      <c r="L833" s="720"/>
      <c r="M833" s="720"/>
      <c r="N833" s="720"/>
      <c r="O833" s="720"/>
      <c r="P833" s="720"/>
      <c r="Q833" s="720"/>
      <c r="R833" s="720"/>
      <c r="S833" s="720"/>
      <c r="T833" s="720"/>
      <c r="U833" s="720"/>
      <c r="V833" s="720"/>
      <c r="W833" s="720"/>
      <c r="X833" s="720"/>
      <c r="Y833" s="720"/>
      <c r="Z833" s="720"/>
      <c r="AA833" s="720"/>
      <c r="AB833" s="720"/>
    </row>
    <row r="834" spans="1:28" ht="12.75" customHeight="1">
      <c r="A834" s="902"/>
      <c r="B834" s="903"/>
      <c r="C834" s="720"/>
      <c r="D834" s="720"/>
      <c r="E834" s="720"/>
      <c r="F834" s="720"/>
      <c r="G834" s="906"/>
      <c r="H834" s="720"/>
      <c r="I834" s="720"/>
      <c r="J834" s="720"/>
      <c r="K834" s="907"/>
      <c r="L834" s="720"/>
      <c r="M834" s="720"/>
      <c r="N834" s="720"/>
      <c r="O834" s="720"/>
      <c r="P834" s="720"/>
      <c r="Q834" s="720"/>
      <c r="R834" s="720"/>
      <c r="S834" s="720"/>
      <c r="T834" s="720"/>
      <c r="U834" s="720"/>
      <c r="V834" s="720"/>
      <c r="W834" s="720"/>
      <c r="X834" s="720"/>
      <c r="Y834" s="720"/>
      <c r="Z834" s="720"/>
      <c r="AA834" s="720"/>
      <c r="AB834" s="720"/>
    </row>
    <row r="835" spans="1:28" ht="12.75" customHeight="1">
      <c r="A835" s="902"/>
      <c r="B835" s="903"/>
      <c r="C835" s="720"/>
      <c r="D835" s="720"/>
      <c r="E835" s="720"/>
      <c r="F835" s="720"/>
      <c r="G835" s="906"/>
      <c r="H835" s="720"/>
      <c r="I835" s="720"/>
      <c r="J835" s="720"/>
      <c r="K835" s="907"/>
      <c r="L835" s="720"/>
      <c r="M835" s="720"/>
      <c r="N835" s="720"/>
      <c r="O835" s="720"/>
      <c r="P835" s="720"/>
      <c r="Q835" s="720"/>
      <c r="R835" s="720"/>
      <c r="S835" s="720"/>
      <c r="T835" s="720"/>
      <c r="U835" s="720"/>
      <c r="V835" s="720"/>
      <c r="W835" s="720"/>
      <c r="X835" s="720"/>
      <c r="Y835" s="720"/>
      <c r="Z835" s="720"/>
      <c r="AA835" s="720"/>
      <c r="AB835" s="720"/>
    </row>
    <row r="836" spans="1:28" ht="12.75" customHeight="1">
      <c r="A836" s="902"/>
      <c r="B836" s="903"/>
      <c r="C836" s="720"/>
      <c r="D836" s="720"/>
      <c r="E836" s="720"/>
      <c r="F836" s="720"/>
      <c r="G836" s="906"/>
      <c r="H836" s="720"/>
      <c r="I836" s="720"/>
      <c r="J836" s="720"/>
      <c r="K836" s="907"/>
      <c r="L836" s="720"/>
      <c r="M836" s="720"/>
      <c r="N836" s="720"/>
      <c r="O836" s="720"/>
      <c r="P836" s="720"/>
      <c r="Q836" s="720"/>
      <c r="R836" s="720"/>
      <c r="S836" s="720"/>
      <c r="T836" s="720"/>
      <c r="U836" s="720"/>
      <c r="V836" s="720"/>
      <c r="W836" s="720"/>
      <c r="X836" s="720"/>
      <c r="Y836" s="720"/>
      <c r="Z836" s="720"/>
      <c r="AA836" s="720"/>
      <c r="AB836" s="720"/>
    </row>
    <row r="837" spans="1:28" ht="12.75" customHeight="1">
      <c r="A837" s="902"/>
      <c r="B837" s="903"/>
      <c r="C837" s="720"/>
      <c r="D837" s="720"/>
      <c r="E837" s="720"/>
      <c r="F837" s="720"/>
      <c r="G837" s="906"/>
      <c r="H837" s="720"/>
      <c r="I837" s="720"/>
      <c r="J837" s="720"/>
      <c r="K837" s="907"/>
      <c r="L837" s="720"/>
      <c r="M837" s="720"/>
      <c r="N837" s="720"/>
      <c r="O837" s="720"/>
      <c r="P837" s="720"/>
      <c r="Q837" s="720"/>
      <c r="R837" s="720"/>
      <c r="S837" s="720"/>
      <c r="T837" s="720"/>
      <c r="U837" s="720"/>
      <c r="V837" s="720"/>
      <c r="W837" s="720"/>
      <c r="X837" s="720"/>
      <c r="Y837" s="720"/>
      <c r="Z837" s="720"/>
      <c r="AA837" s="720"/>
      <c r="AB837" s="720"/>
    </row>
    <row r="838" spans="1:28" ht="12.75" customHeight="1">
      <c r="A838" s="902"/>
      <c r="B838" s="903"/>
      <c r="C838" s="720"/>
      <c r="D838" s="720"/>
      <c r="E838" s="720"/>
      <c r="F838" s="720"/>
      <c r="G838" s="906"/>
      <c r="H838" s="720"/>
      <c r="I838" s="720"/>
      <c r="J838" s="720"/>
      <c r="K838" s="907"/>
      <c r="L838" s="720"/>
      <c r="M838" s="720"/>
      <c r="N838" s="720"/>
      <c r="O838" s="720"/>
      <c r="P838" s="720"/>
      <c r="Q838" s="720"/>
      <c r="R838" s="720"/>
      <c r="S838" s="720"/>
      <c r="T838" s="720"/>
      <c r="U838" s="720"/>
      <c r="V838" s="720"/>
      <c r="W838" s="720"/>
      <c r="X838" s="720"/>
      <c r="Y838" s="720"/>
      <c r="Z838" s="720"/>
      <c r="AA838" s="720"/>
      <c r="AB838" s="720"/>
    </row>
    <row r="839" spans="1:28" ht="12.75" customHeight="1">
      <c r="A839" s="902"/>
      <c r="B839" s="903"/>
      <c r="C839" s="720"/>
      <c r="D839" s="720"/>
      <c r="E839" s="720"/>
      <c r="F839" s="720"/>
      <c r="G839" s="906"/>
      <c r="H839" s="720"/>
      <c r="I839" s="720"/>
      <c r="J839" s="720"/>
      <c r="K839" s="907"/>
      <c r="L839" s="720"/>
      <c r="M839" s="720"/>
      <c r="N839" s="720"/>
      <c r="O839" s="720"/>
      <c r="P839" s="720"/>
      <c r="Q839" s="720"/>
      <c r="R839" s="720"/>
      <c r="S839" s="720"/>
      <c r="T839" s="720"/>
      <c r="U839" s="720"/>
      <c r="V839" s="720"/>
      <c r="W839" s="720"/>
      <c r="X839" s="720"/>
      <c r="Y839" s="720"/>
      <c r="Z839" s="720"/>
      <c r="AA839" s="720"/>
      <c r="AB839" s="720"/>
    </row>
    <row r="840" spans="1:28" ht="12.75" customHeight="1">
      <c r="A840" s="902"/>
      <c r="B840" s="903"/>
      <c r="C840" s="720"/>
      <c r="D840" s="720"/>
      <c r="E840" s="720"/>
      <c r="F840" s="720"/>
      <c r="G840" s="906"/>
      <c r="H840" s="720"/>
      <c r="I840" s="720"/>
      <c r="J840" s="720"/>
      <c r="K840" s="907"/>
      <c r="L840" s="720"/>
      <c r="M840" s="720"/>
      <c r="N840" s="720"/>
      <c r="O840" s="720"/>
      <c r="P840" s="720"/>
      <c r="Q840" s="720"/>
      <c r="R840" s="720"/>
      <c r="S840" s="720"/>
      <c r="T840" s="720"/>
      <c r="U840" s="720"/>
      <c r="V840" s="720"/>
      <c r="W840" s="720"/>
      <c r="X840" s="720"/>
      <c r="Y840" s="720"/>
      <c r="Z840" s="720"/>
      <c r="AA840" s="720"/>
      <c r="AB840" s="720"/>
    </row>
    <row r="841" spans="1:28" ht="12.75" customHeight="1">
      <c r="A841" s="902"/>
      <c r="B841" s="903"/>
      <c r="C841" s="720"/>
      <c r="D841" s="720"/>
      <c r="E841" s="720"/>
      <c r="F841" s="720"/>
      <c r="G841" s="906"/>
      <c r="H841" s="720"/>
      <c r="I841" s="720"/>
      <c r="J841" s="720"/>
      <c r="K841" s="907"/>
      <c r="L841" s="720"/>
      <c r="M841" s="720"/>
      <c r="N841" s="720"/>
      <c r="O841" s="720"/>
      <c r="P841" s="720"/>
      <c r="Q841" s="720"/>
      <c r="R841" s="720"/>
      <c r="S841" s="720"/>
      <c r="T841" s="720"/>
      <c r="U841" s="720"/>
      <c r="V841" s="720"/>
      <c r="W841" s="720"/>
      <c r="X841" s="720"/>
      <c r="Y841" s="720"/>
      <c r="Z841" s="720"/>
      <c r="AA841" s="720"/>
      <c r="AB841" s="720"/>
    </row>
    <row r="842" spans="1:28" ht="12.75" customHeight="1">
      <c r="A842" s="902"/>
      <c r="B842" s="903"/>
      <c r="C842" s="720"/>
      <c r="D842" s="720"/>
      <c r="E842" s="720"/>
      <c r="F842" s="720"/>
      <c r="G842" s="906"/>
      <c r="H842" s="720"/>
      <c r="I842" s="720"/>
      <c r="J842" s="720"/>
      <c r="K842" s="907"/>
      <c r="L842" s="720"/>
      <c r="M842" s="720"/>
      <c r="N842" s="720"/>
      <c r="O842" s="720"/>
      <c r="P842" s="720"/>
      <c r="Q842" s="720"/>
      <c r="R842" s="720"/>
      <c r="S842" s="720"/>
      <c r="T842" s="720"/>
      <c r="U842" s="720"/>
      <c r="V842" s="720"/>
      <c r="W842" s="720"/>
      <c r="X842" s="720"/>
      <c r="Y842" s="720"/>
      <c r="Z842" s="720"/>
      <c r="AA842" s="720"/>
      <c r="AB842" s="720"/>
    </row>
    <row r="843" spans="1:28" ht="12.75" customHeight="1">
      <c r="A843" s="902"/>
      <c r="B843" s="903"/>
      <c r="C843" s="720"/>
      <c r="D843" s="720"/>
      <c r="E843" s="720"/>
      <c r="F843" s="720"/>
      <c r="G843" s="906"/>
      <c r="H843" s="720"/>
      <c r="I843" s="720"/>
      <c r="J843" s="720"/>
      <c r="K843" s="907"/>
      <c r="L843" s="720"/>
      <c r="M843" s="720"/>
      <c r="N843" s="720"/>
      <c r="O843" s="720"/>
      <c r="P843" s="720"/>
      <c r="Q843" s="720"/>
      <c r="R843" s="720"/>
      <c r="S843" s="720"/>
      <c r="T843" s="720"/>
      <c r="U843" s="720"/>
      <c r="V843" s="720"/>
      <c r="W843" s="720"/>
      <c r="X843" s="720"/>
      <c r="Y843" s="720"/>
      <c r="Z843" s="720"/>
      <c r="AA843" s="720"/>
      <c r="AB843" s="720"/>
    </row>
    <row r="844" spans="1:28" ht="12.75" customHeight="1">
      <c r="A844" s="902"/>
      <c r="B844" s="903"/>
      <c r="C844" s="720"/>
      <c r="D844" s="720"/>
      <c r="E844" s="720"/>
      <c r="F844" s="720"/>
      <c r="G844" s="906"/>
      <c r="H844" s="720"/>
      <c r="I844" s="720"/>
      <c r="J844" s="720"/>
      <c r="K844" s="907"/>
      <c r="L844" s="720"/>
      <c r="M844" s="720"/>
      <c r="N844" s="720"/>
      <c r="O844" s="720"/>
      <c r="P844" s="720"/>
      <c r="Q844" s="720"/>
      <c r="R844" s="720"/>
      <c r="S844" s="720"/>
      <c r="T844" s="720"/>
      <c r="U844" s="720"/>
      <c r="V844" s="720"/>
      <c r="W844" s="720"/>
      <c r="X844" s="720"/>
      <c r="Y844" s="720"/>
      <c r="Z844" s="720"/>
      <c r="AA844" s="720"/>
      <c r="AB844" s="720"/>
    </row>
    <row r="845" spans="1:28" ht="12.75" customHeight="1">
      <c r="A845" s="902"/>
      <c r="B845" s="903"/>
      <c r="C845" s="720"/>
      <c r="D845" s="720"/>
      <c r="E845" s="720"/>
      <c r="F845" s="720"/>
      <c r="G845" s="906"/>
      <c r="H845" s="720"/>
      <c r="I845" s="720"/>
      <c r="J845" s="720"/>
      <c r="K845" s="907"/>
      <c r="L845" s="720"/>
      <c r="M845" s="720"/>
      <c r="N845" s="720"/>
      <c r="O845" s="720"/>
      <c r="P845" s="720"/>
      <c r="Q845" s="720"/>
      <c r="R845" s="720"/>
      <c r="S845" s="720"/>
      <c r="T845" s="720"/>
      <c r="U845" s="720"/>
      <c r="V845" s="720"/>
      <c r="W845" s="720"/>
      <c r="X845" s="720"/>
      <c r="Y845" s="720"/>
      <c r="Z845" s="720"/>
      <c r="AA845" s="720"/>
      <c r="AB845" s="720"/>
    </row>
    <row r="846" spans="1:28" ht="12.75" customHeight="1">
      <c r="A846" s="902"/>
      <c r="B846" s="903"/>
      <c r="C846" s="720"/>
      <c r="D846" s="720"/>
      <c r="E846" s="720"/>
      <c r="F846" s="720"/>
      <c r="G846" s="906"/>
      <c r="H846" s="720"/>
      <c r="I846" s="720"/>
      <c r="J846" s="720"/>
      <c r="K846" s="907"/>
      <c r="L846" s="720"/>
      <c r="M846" s="720"/>
      <c r="N846" s="720"/>
      <c r="O846" s="720"/>
      <c r="P846" s="720"/>
      <c r="Q846" s="720"/>
      <c r="R846" s="720"/>
      <c r="S846" s="720"/>
      <c r="T846" s="720"/>
      <c r="U846" s="720"/>
      <c r="V846" s="720"/>
      <c r="W846" s="720"/>
      <c r="X846" s="720"/>
      <c r="Y846" s="720"/>
      <c r="Z846" s="720"/>
      <c r="AA846" s="720"/>
      <c r="AB846" s="720"/>
    </row>
    <row r="847" spans="1:28" ht="12.75" customHeight="1">
      <c r="A847" s="902"/>
      <c r="B847" s="903"/>
      <c r="C847" s="720"/>
      <c r="D847" s="720"/>
      <c r="E847" s="720"/>
      <c r="F847" s="720"/>
      <c r="G847" s="906"/>
      <c r="H847" s="720"/>
      <c r="I847" s="720"/>
      <c r="J847" s="720"/>
      <c r="K847" s="907"/>
      <c r="L847" s="720"/>
      <c r="M847" s="720"/>
      <c r="N847" s="720"/>
      <c r="O847" s="720"/>
      <c r="P847" s="720"/>
      <c r="Q847" s="720"/>
      <c r="R847" s="720"/>
      <c r="S847" s="720"/>
      <c r="T847" s="720"/>
      <c r="U847" s="720"/>
      <c r="V847" s="720"/>
      <c r="W847" s="720"/>
      <c r="X847" s="720"/>
      <c r="Y847" s="720"/>
      <c r="Z847" s="720"/>
      <c r="AA847" s="720"/>
      <c r="AB847" s="720"/>
    </row>
    <row r="848" spans="1:28" ht="12.75" customHeight="1">
      <c r="A848" s="902"/>
      <c r="B848" s="903"/>
      <c r="C848" s="720"/>
      <c r="D848" s="720"/>
      <c r="E848" s="720"/>
      <c r="F848" s="720"/>
      <c r="G848" s="906"/>
      <c r="H848" s="720"/>
      <c r="I848" s="720"/>
      <c r="J848" s="720"/>
      <c r="K848" s="907"/>
      <c r="L848" s="720"/>
      <c r="M848" s="720"/>
      <c r="N848" s="720"/>
      <c r="O848" s="720"/>
      <c r="P848" s="720"/>
      <c r="Q848" s="720"/>
      <c r="R848" s="720"/>
      <c r="S848" s="720"/>
      <c r="T848" s="720"/>
      <c r="U848" s="720"/>
      <c r="V848" s="720"/>
      <c r="W848" s="720"/>
      <c r="X848" s="720"/>
      <c r="Y848" s="720"/>
      <c r="Z848" s="720"/>
      <c r="AA848" s="720"/>
      <c r="AB848" s="720"/>
    </row>
    <row r="849" spans="1:28" ht="12.75" customHeight="1">
      <c r="A849" s="902"/>
      <c r="B849" s="903"/>
      <c r="C849" s="720"/>
      <c r="D849" s="720"/>
      <c r="E849" s="720"/>
      <c r="F849" s="720"/>
      <c r="G849" s="906"/>
      <c r="H849" s="720"/>
      <c r="I849" s="720"/>
      <c r="J849" s="720"/>
      <c r="K849" s="907"/>
      <c r="L849" s="720"/>
      <c r="M849" s="720"/>
      <c r="N849" s="720"/>
      <c r="O849" s="720"/>
      <c r="P849" s="720"/>
      <c r="Q849" s="720"/>
      <c r="R849" s="720"/>
      <c r="S849" s="720"/>
      <c r="T849" s="720"/>
      <c r="U849" s="720"/>
      <c r="V849" s="720"/>
      <c r="W849" s="720"/>
      <c r="X849" s="720"/>
      <c r="Y849" s="720"/>
      <c r="Z849" s="720"/>
      <c r="AA849" s="720"/>
      <c r="AB849" s="720"/>
    </row>
    <row r="850" spans="1:28" ht="12.75" customHeight="1">
      <c r="A850" s="902"/>
      <c r="B850" s="903"/>
      <c r="C850" s="720"/>
      <c r="D850" s="720"/>
      <c r="E850" s="720"/>
      <c r="F850" s="720"/>
      <c r="G850" s="906"/>
      <c r="H850" s="720"/>
      <c r="I850" s="720"/>
      <c r="J850" s="720"/>
      <c r="K850" s="907"/>
      <c r="L850" s="720"/>
      <c r="M850" s="720"/>
      <c r="N850" s="720"/>
      <c r="O850" s="720"/>
      <c r="P850" s="720"/>
      <c r="Q850" s="720"/>
      <c r="R850" s="720"/>
      <c r="S850" s="720"/>
      <c r="T850" s="720"/>
      <c r="U850" s="720"/>
      <c r="V850" s="720"/>
      <c r="W850" s="720"/>
      <c r="X850" s="720"/>
      <c r="Y850" s="720"/>
      <c r="Z850" s="720"/>
      <c r="AA850" s="720"/>
      <c r="AB850" s="720"/>
    </row>
    <row r="851" spans="1:28" ht="12.75" customHeight="1">
      <c r="A851" s="902"/>
      <c r="B851" s="903"/>
      <c r="C851" s="720"/>
      <c r="D851" s="720"/>
      <c r="E851" s="720"/>
      <c r="F851" s="720"/>
      <c r="G851" s="906"/>
      <c r="H851" s="720"/>
      <c r="I851" s="720"/>
      <c r="J851" s="720"/>
      <c r="K851" s="907"/>
      <c r="L851" s="720"/>
      <c r="M851" s="720"/>
      <c r="N851" s="720"/>
      <c r="O851" s="720"/>
      <c r="P851" s="720"/>
      <c r="Q851" s="720"/>
      <c r="R851" s="720"/>
      <c r="S851" s="720"/>
      <c r="T851" s="720"/>
      <c r="U851" s="720"/>
      <c r="V851" s="720"/>
      <c r="W851" s="720"/>
      <c r="X851" s="720"/>
      <c r="Y851" s="720"/>
      <c r="Z851" s="720"/>
      <c r="AA851" s="720"/>
      <c r="AB851" s="720"/>
    </row>
    <row r="852" spans="1:28" ht="12.75" customHeight="1">
      <c r="A852" s="902"/>
      <c r="B852" s="903"/>
      <c r="C852" s="720"/>
      <c r="D852" s="720"/>
      <c r="E852" s="720"/>
      <c r="F852" s="720"/>
      <c r="G852" s="906"/>
      <c r="H852" s="720"/>
      <c r="I852" s="720"/>
      <c r="J852" s="720"/>
      <c r="K852" s="907"/>
      <c r="L852" s="720"/>
      <c r="M852" s="720"/>
      <c r="N852" s="720"/>
      <c r="O852" s="720"/>
      <c r="P852" s="720"/>
      <c r="Q852" s="720"/>
      <c r="R852" s="720"/>
      <c r="S852" s="720"/>
      <c r="T852" s="720"/>
      <c r="U852" s="720"/>
      <c r="V852" s="720"/>
      <c r="W852" s="720"/>
      <c r="X852" s="720"/>
      <c r="Y852" s="720"/>
      <c r="Z852" s="720"/>
      <c r="AA852" s="720"/>
      <c r="AB852" s="720"/>
    </row>
    <row r="853" spans="1:28" ht="12.75" customHeight="1">
      <c r="A853" s="902"/>
      <c r="B853" s="903"/>
      <c r="C853" s="720"/>
      <c r="D853" s="720"/>
      <c r="E853" s="720"/>
      <c r="F853" s="720"/>
      <c r="G853" s="906"/>
      <c r="H853" s="720"/>
      <c r="I853" s="720"/>
      <c r="J853" s="720"/>
      <c r="K853" s="907"/>
      <c r="L853" s="720"/>
      <c r="M853" s="720"/>
      <c r="N853" s="720"/>
      <c r="O853" s="720"/>
      <c r="P853" s="720"/>
      <c r="Q853" s="720"/>
      <c r="R853" s="720"/>
      <c r="S853" s="720"/>
      <c r="T853" s="720"/>
      <c r="U853" s="720"/>
      <c r="V853" s="720"/>
      <c r="W853" s="720"/>
      <c r="X853" s="720"/>
      <c r="Y853" s="720"/>
      <c r="Z853" s="720"/>
      <c r="AA853" s="720"/>
      <c r="AB853" s="720"/>
    </row>
    <row r="854" spans="1:28" ht="12.75" customHeight="1">
      <c r="A854" s="902"/>
      <c r="B854" s="903"/>
      <c r="C854" s="720"/>
      <c r="D854" s="720"/>
      <c r="E854" s="720"/>
      <c r="F854" s="720"/>
      <c r="G854" s="906"/>
      <c r="H854" s="720"/>
      <c r="I854" s="720"/>
      <c r="J854" s="720"/>
      <c r="K854" s="907"/>
      <c r="L854" s="720"/>
      <c r="M854" s="720"/>
      <c r="N854" s="720"/>
      <c r="O854" s="720"/>
      <c r="P854" s="720"/>
      <c r="Q854" s="720"/>
      <c r="R854" s="720"/>
      <c r="S854" s="720"/>
      <c r="T854" s="720"/>
      <c r="U854" s="720"/>
      <c r="V854" s="720"/>
      <c r="W854" s="720"/>
      <c r="X854" s="720"/>
      <c r="Y854" s="720"/>
      <c r="Z854" s="720"/>
      <c r="AA854" s="720"/>
      <c r="AB854" s="720"/>
    </row>
    <row r="855" spans="1:28" ht="12.75" customHeight="1">
      <c r="A855" s="902"/>
      <c r="B855" s="903"/>
      <c r="C855" s="720"/>
      <c r="D855" s="720"/>
      <c r="E855" s="720"/>
      <c r="F855" s="720"/>
      <c r="G855" s="906"/>
      <c r="H855" s="720"/>
      <c r="I855" s="720"/>
      <c r="J855" s="720"/>
      <c r="K855" s="907"/>
      <c r="L855" s="720"/>
      <c r="M855" s="720"/>
      <c r="N855" s="720"/>
      <c r="O855" s="720"/>
      <c r="P855" s="720"/>
      <c r="Q855" s="720"/>
      <c r="R855" s="720"/>
      <c r="S855" s="720"/>
      <c r="T855" s="720"/>
      <c r="U855" s="720"/>
      <c r="V855" s="720"/>
      <c r="W855" s="720"/>
      <c r="X855" s="720"/>
      <c r="Y855" s="720"/>
      <c r="Z855" s="720"/>
      <c r="AA855" s="720"/>
      <c r="AB855" s="720"/>
    </row>
    <row r="856" spans="1:28" ht="12.75" customHeight="1">
      <c r="A856" s="902"/>
      <c r="B856" s="903"/>
      <c r="C856" s="720"/>
      <c r="D856" s="720"/>
      <c r="E856" s="720"/>
      <c r="F856" s="720"/>
      <c r="G856" s="906"/>
      <c r="H856" s="720"/>
      <c r="I856" s="720"/>
      <c r="J856" s="720"/>
      <c r="K856" s="907"/>
      <c r="L856" s="720"/>
      <c r="M856" s="720"/>
      <c r="N856" s="720"/>
      <c r="O856" s="720"/>
      <c r="P856" s="720"/>
      <c r="Q856" s="720"/>
      <c r="R856" s="720"/>
      <c r="S856" s="720"/>
      <c r="T856" s="720"/>
      <c r="U856" s="720"/>
      <c r="V856" s="720"/>
      <c r="W856" s="720"/>
      <c r="X856" s="720"/>
      <c r="Y856" s="720"/>
      <c r="Z856" s="720"/>
      <c r="AA856" s="720"/>
      <c r="AB856" s="720"/>
    </row>
    <row r="857" spans="1:28" ht="12.75" customHeight="1">
      <c r="A857" s="902"/>
      <c r="B857" s="903"/>
      <c r="C857" s="720"/>
      <c r="D857" s="720"/>
      <c r="E857" s="720"/>
      <c r="F857" s="720"/>
      <c r="G857" s="906"/>
      <c r="H857" s="720"/>
      <c r="I857" s="720"/>
      <c r="J857" s="720"/>
      <c r="K857" s="907"/>
      <c r="L857" s="720"/>
      <c r="M857" s="720"/>
      <c r="N857" s="720"/>
      <c r="O857" s="720"/>
      <c r="P857" s="720"/>
      <c r="Q857" s="720"/>
      <c r="R857" s="720"/>
      <c r="S857" s="720"/>
      <c r="T857" s="720"/>
      <c r="U857" s="720"/>
      <c r="V857" s="720"/>
      <c r="W857" s="720"/>
      <c r="X857" s="720"/>
      <c r="Y857" s="720"/>
      <c r="Z857" s="720"/>
      <c r="AA857" s="720"/>
      <c r="AB857" s="720"/>
    </row>
    <row r="858" spans="1:28" ht="12.75" customHeight="1">
      <c r="A858" s="902"/>
      <c r="B858" s="903"/>
      <c r="C858" s="720"/>
      <c r="D858" s="720"/>
      <c r="E858" s="720"/>
      <c r="F858" s="720"/>
      <c r="G858" s="906"/>
      <c r="H858" s="720"/>
      <c r="I858" s="720"/>
      <c r="J858" s="720"/>
      <c r="K858" s="907"/>
      <c r="L858" s="720"/>
      <c r="M858" s="720"/>
      <c r="N858" s="720"/>
      <c r="O858" s="720"/>
      <c r="P858" s="720"/>
      <c r="Q858" s="720"/>
      <c r="R858" s="720"/>
      <c r="S858" s="720"/>
      <c r="T858" s="720"/>
      <c r="U858" s="720"/>
      <c r="V858" s="720"/>
      <c r="W858" s="720"/>
      <c r="X858" s="720"/>
      <c r="Y858" s="720"/>
      <c r="Z858" s="720"/>
      <c r="AA858" s="720"/>
      <c r="AB858" s="720"/>
    </row>
    <row r="859" spans="1:28" ht="12.75" customHeight="1">
      <c r="A859" s="902"/>
      <c r="B859" s="903"/>
      <c r="C859" s="720"/>
      <c r="D859" s="720"/>
      <c r="E859" s="720"/>
      <c r="F859" s="720"/>
      <c r="G859" s="906"/>
      <c r="H859" s="720"/>
      <c r="I859" s="720"/>
      <c r="J859" s="720"/>
      <c r="K859" s="907"/>
      <c r="L859" s="720"/>
      <c r="M859" s="720"/>
      <c r="N859" s="720"/>
      <c r="O859" s="720"/>
      <c r="P859" s="720"/>
      <c r="Q859" s="720"/>
      <c r="R859" s="720"/>
      <c r="S859" s="720"/>
      <c r="T859" s="720"/>
      <c r="U859" s="720"/>
      <c r="V859" s="720"/>
      <c r="W859" s="720"/>
      <c r="X859" s="720"/>
      <c r="Y859" s="720"/>
      <c r="Z859" s="720"/>
      <c r="AA859" s="720"/>
      <c r="AB859" s="720"/>
    </row>
    <row r="860" spans="1:28" ht="12.75" customHeight="1">
      <c r="A860" s="902"/>
      <c r="B860" s="903"/>
      <c r="C860" s="720"/>
      <c r="D860" s="720"/>
      <c r="E860" s="720"/>
      <c r="F860" s="720"/>
      <c r="G860" s="906"/>
      <c r="H860" s="720"/>
      <c r="I860" s="720"/>
      <c r="J860" s="720"/>
      <c r="K860" s="907"/>
      <c r="L860" s="720"/>
      <c r="M860" s="720"/>
      <c r="N860" s="720"/>
      <c r="O860" s="720"/>
      <c r="P860" s="720"/>
      <c r="Q860" s="720"/>
      <c r="R860" s="720"/>
      <c r="S860" s="720"/>
      <c r="T860" s="720"/>
      <c r="U860" s="720"/>
      <c r="V860" s="720"/>
      <c r="W860" s="720"/>
      <c r="X860" s="720"/>
      <c r="Y860" s="720"/>
      <c r="Z860" s="720"/>
      <c r="AA860" s="720"/>
      <c r="AB860" s="720"/>
    </row>
    <row r="861" spans="1:28" ht="12.75" customHeight="1">
      <c r="A861" s="902"/>
      <c r="B861" s="903"/>
      <c r="C861" s="720"/>
      <c r="D861" s="720"/>
      <c r="E861" s="720"/>
      <c r="F861" s="720"/>
      <c r="G861" s="906"/>
      <c r="H861" s="720"/>
      <c r="I861" s="720"/>
      <c r="J861" s="720"/>
      <c r="K861" s="907"/>
      <c r="L861" s="720"/>
      <c r="M861" s="720"/>
      <c r="N861" s="720"/>
      <c r="O861" s="720"/>
      <c r="P861" s="720"/>
      <c r="Q861" s="720"/>
      <c r="R861" s="720"/>
      <c r="S861" s="720"/>
      <c r="T861" s="720"/>
      <c r="U861" s="720"/>
      <c r="V861" s="720"/>
      <c r="W861" s="720"/>
      <c r="X861" s="720"/>
      <c r="Y861" s="720"/>
      <c r="Z861" s="720"/>
      <c r="AA861" s="720"/>
      <c r="AB861" s="720"/>
    </row>
    <row r="862" spans="1:28" ht="12.75" customHeight="1">
      <c r="A862" s="902"/>
      <c r="B862" s="903"/>
      <c r="C862" s="720"/>
      <c r="D862" s="720"/>
      <c r="E862" s="720"/>
      <c r="F862" s="720"/>
      <c r="G862" s="906"/>
      <c r="H862" s="720"/>
      <c r="I862" s="720"/>
      <c r="J862" s="720"/>
      <c r="K862" s="907"/>
      <c r="L862" s="720"/>
      <c r="M862" s="720"/>
      <c r="N862" s="720"/>
      <c r="O862" s="720"/>
      <c r="P862" s="720"/>
      <c r="Q862" s="720"/>
      <c r="R862" s="720"/>
      <c r="S862" s="720"/>
      <c r="T862" s="720"/>
      <c r="U862" s="720"/>
      <c r="V862" s="720"/>
      <c r="W862" s="720"/>
      <c r="X862" s="720"/>
      <c r="Y862" s="720"/>
      <c r="Z862" s="720"/>
      <c r="AA862" s="720"/>
      <c r="AB862" s="720"/>
    </row>
    <row r="863" spans="1:28" ht="12.75" customHeight="1">
      <c r="A863" s="902"/>
      <c r="B863" s="903"/>
      <c r="C863" s="720"/>
      <c r="D863" s="720"/>
      <c r="E863" s="720"/>
      <c r="F863" s="720"/>
      <c r="G863" s="906"/>
      <c r="H863" s="720"/>
      <c r="I863" s="720"/>
      <c r="J863" s="720"/>
      <c r="K863" s="907"/>
      <c r="L863" s="720"/>
      <c r="M863" s="720"/>
      <c r="N863" s="720"/>
      <c r="O863" s="720"/>
      <c r="P863" s="720"/>
      <c r="Q863" s="720"/>
      <c r="R863" s="720"/>
      <c r="S863" s="720"/>
      <c r="T863" s="720"/>
      <c r="U863" s="720"/>
      <c r="V863" s="720"/>
      <c r="W863" s="720"/>
      <c r="X863" s="720"/>
      <c r="Y863" s="720"/>
      <c r="Z863" s="720"/>
      <c r="AA863" s="720"/>
      <c r="AB863" s="720"/>
    </row>
    <row r="864" spans="1:28" ht="12.75" customHeight="1">
      <c r="A864" s="902"/>
      <c r="B864" s="903"/>
      <c r="C864" s="720"/>
      <c r="D864" s="720"/>
      <c r="E864" s="720"/>
      <c r="F864" s="720"/>
      <c r="G864" s="906"/>
      <c r="H864" s="720"/>
      <c r="I864" s="720"/>
      <c r="J864" s="720"/>
      <c r="K864" s="907"/>
      <c r="L864" s="720"/>
      <c r="M864" s="720"/>
      <c r="N864" s="720"/>
      <c r="O864" s="720"/>
      <c r="P864" s="720"/>
      <c r="Q864" s="720"/>
      <c r="R864" s="720"/>
      <c r="S864" s="720"/>
      <c r="T864" s="720"/>
      <c r="U864" s="720"/>
      <c r="V864" s="720"/>
      <c r="W864" s="720"/>
      <c r="X864" s="720"/>
      <c r="Y864" s="720"/>
      <c r="Z864" s="720"/>
      <c r="AA864" s="720"/>
      <c r="AB864" s="720"/>
    </row>
    <row r="865" spans="1:28" ht="12.75" customHeight="1">
      <c r="A865" s="902"/>
      <c r="B865" s="903"/>
      <c r="C865" s="720"/>
      <c r="D865" s="720"/>
      <c r="E865" s="720"/>
      <c r="F865" s="720"/>
      <c r="G865" s="906"/>
      <c r="H865" s="720"/>
      <c r="I865" s="720"/>
      <c r="J865" s="720"/>
      <c r="K865" s="907"/>
      <c r="L865" s="720"/>
      <c r="M865" s="720"/>
      <c r="N865" s="720"/>
      <c r="O865" s="720"/>
      <c r="P865" s="720"/>
      <c r="Q865" s="720"/>
      <c r="R865" s="720"/>
      <c r="S865" s="720"/>
      <c r="T865" s="720"/>
      <c r="U865" s="720"/>
      <c r="V865" s="720"/>
      <c r="W865" s="720"/>
      <c r="X865" s="720"/>
      <c r="Y865" s="720"/>
      <c r="Z865" s="720"/>
      <c r="AA865" s="720"/>
      <c r="AB865" s="720"/>
    </row>
    <row r="866" spans="1:28" ht="12.75" customHeight="1">
      <c r="A866" s="902"/>
      <c r="B866" s="903"/>
      <c r="C866" s="720"/>
      <c r="D866" s="720"/>
      <c r="E866" s="720"/>
      <c r="F866" s="720"/>
      <c r="G866" s="906"/>
      <c r="H866" s="720"/>
      <c r="I866" s="720"/>
      <c r="J866" s="720"/>
      <c r="K866" s="907"/>
      <c r="L866" s="720"/>
      <c r="M866" s="720"/>
      <c r="N866" s="720"/>
      <c r="O866" s="720"/>
      <c r="P866" s="720"/>
      <c r="Q866" s="720"/>
      <c r="R866" s="720"/>
      <c r="S866" s="720"/>
      <c r="T866" s="720"/>
      <c r="U866" s="720"/>
      <c r="V866" s="720"/>
      <c r="W866" s="720"/>
      <c r="X866" s="720"/>
      <c r="Y866" s="720"/>
      <c r="Z866" s="720"/>
      <c r="AA866" s="720"/>
      <c r="AB866" s="720"/>
    </row>
    <row r="867" spans="1:28" ht="12.75" customHeight="1">
      <c r="A867" s="902"/>
      <c r="B867" s="903"/>
      <c r="C867" s="720"/>
      <c r="D867" s="720"/>
      <c r="E867" s="720"/>
      <c r="F867" s="720"/>
      <c r="G867" s="906"/>
      <c r="H867" s="720"/>
      <c r="I867" s="720"/>
      <c r="J867" s="720"/>
      <c r="K867" s="907"/>
      <c r="L867" s="720"/>
      <c r="M867" s="720"/>
      <c r="N867" s="720"/>
      <c r="O867" s="720"/>
      <c r="P867" s="720"/>
      <c r="Q867" s="720"/>
      <c r="R867" s="720"/>
      <c r="S867" s="720"/>
      <c r="T867" s="720"/>
      <c r="U867" s="720"/>
      <c r="V867" s="720"/>
      <c r="W867" s="720"/>
      <c r="X867" s="720"/>
      <c r="Y867" s="720"/>
      <c r="Z867" s="720"/>
      <c r="AA867" s="720"/>
      <c r="AB867" s="720"/>
    </row>
    <row r="868" spans="1:28" ht="12.75" customHeight="1">
      <c r="A868" s="902"/>
      <c r="B868" s="903"/>
      <c r="C868" s="720"/>
      <c r="D868" s="720"/>
      <c r="E868" s="720"/>
      <c r="F868" s="720"/>
      <c r="G868" s="906"/>
      <c r="H868" s="720"/>
      <c r="I868" s="720"/>
      <c r="J868" s="720"/>
      <c r="K868" s="907"/>
      <c r="L868" s="720"/>
      <c r="M868" s="720"/>
      <c r="N868" s="720"/>
      <c r="O868" s="720"/>
      <c r="P868" s="720"/>
      <c r="Q868" s="720"/>
      <c r="R868" s="720"/>
      <c r="S868" s="720"/>
      <c r="T868" s="720"/>
      <c r="U868" s="720"/>
      <c r="V868" s="720"/>
      <c r="W868" s="720"/>
      <c r="X868" s="720"/>
      <c r="Y868" s="720"/>
      <c r="Z868" s="720"/>
      <c r="AA868" s="720"/>
      <c r="AB868" s="720"/>
    </row>
    <row r="869" spans="1:28" ht="12.75" customHeight="1">
      <c r="A869" s="902"/>
      <c r="B869" s="903"/>
      <c r="C869" s="720"/>
      <c r="D869" s="720"/>
      <c r="E869" s="720"/>
      <c r="F869" s="720"/>
      <c r="G869" s="906"/>
      <c r="H869" s="720"/>
      <c r="I869" s="720"/>
      <c r="J869" s="720"/>
      <c r="K869" s="907"/>
      <c r="L869" s="720"/>
      <c r="M869" s="720"/>
      <c r="N869" s="720"/>
      <c r="O869" s="720"/>
      <c r="P869" s="720"/>
      <c r="Q869" s="720"/>
      <c r="R869" s="720"/>
      <c r="S869" s="720"/>
      <c r="T869" s="720"/>
      <c r="U869" s="720"/>
      <c r="V869" s="720"/>
      <c r="W869" s="720"/>
      <c r="X869" s="720"/>
      <c r="Y869" s="720"/>
      <c r="Z869" s="720"/>
      <c r="AA869" s="720"/>
      <c r="AB869" s="720"/>
    </row>
    <row r="870" spans="1:28" ht="12.75" customHeight="1">
      <c r="A870" s="902"/>
      <c r="B870" s="903"/>
      <c r="C870" s="720"/>
      <c r="D870" s="720"/>
      <c r="E870" s="720"/>
      <c r="F870" s="720"/>
      <c r="G870" s="906"/>
      <c r="H870" s="720"/>
      <c r="I870" s="720"/>
      <c r="J870" s="720"/>
      <c r="K870" s="907"/>
      <c r="L870" s="720"/>
      <c r="M870" s="720"/>
      <c r="N870" s="720"/>
      <c r="O870" s="720"/>
      <c r="P870" s="720"/>
      <c r="Q870" s="720"/>
      <c r="R870" s="720"/>
      <c r="S870" s="720"/>
      <c r="T870" s="720"/>
      <c r="U870" s="720"/>
      <c r="V870" s="720"/>
      <c r="W870" s="720"/>
      <c r="X870" s="720"/>
      <c r="Y870" s="720"/>
      <c r="Z870" s="720"/>
      <c r="AA870" s="720"/>
      <c r="AB870" s="720"/>
    </row>
    <row r="871" spans="1:28" ht="12.75" customHeight="1">
      <c r="A871" s="902"/>
      <c r="B871" s="903"/>
      <c r="C871" s="720"/>
      <c r="D871" s="720"/>
      <c r="E871" s="720"/>
      <c r="F871" s="720"/>
      <c r="G871" s="906"/>
      <c r="H871" s="720"/>
      <c r="I871" s="720"/>
      <c r="J871" s="720"/>
      <c r="K871" s="907"/>
      <c r="L871" s="720"/>
      <c r="M871" s="720"/>
      <c r="N871" s="720"/>
      <c r="O871" s="720"/>
      <c r="P871" s="720"/>
      <c r="Q871" s="720"/>
      <c r="R871" s="720"/>
      <c r="S871" s="720"/>
      <c r="T871" s="720"/>
      <c r="U871" s="720"/>
      <c r="V871" s="720"/>
      <c r="W871" s="720"/>
      <c r="X871" s="720"/>
      <c r="Y871" s="720"/>
      <c r="Z871" s="720"/>
      <c r="AA871" s="720"/>
      <c r="AB871" s="720"/>
    </row>
    <row r="872" spans="1:28" ht="12.75" customHeight="1">
      <c r="A872" s="902"/>
      <c r="B872" s="903"/>
      <c r="C872" s="720"/>
      <c r="D872" s="720"/>
      <c r="E872" s="720"/>
      <c r="F872" s="720"/>
      <c r="G872" s="906"/>
      <c r="H872" s="720"/>
      <c r="I872" s="720"/>
      <c r="J872" s="720"/>
      <c r="K872" s="907"/>
      <c r="L872" s="720"/>
      <c r="M872" s="720"/>
      <c r="N872" s="720"/>
      <c r="O872" s="720"/>
      <c r="P872" s="720"/>
      <c r="Q872" s="720"/>
      <c r="R872" s="720"/>
      <c r="S872" s="720"/>
      <c r="T872" s="720"/>
      <c r="U872" s="720"/>
      <c r="V872" s="720"/>
      <c r="W872" s="720"/>
      <c r="X872" s="720"/>
      <c r="Y872" s="720"/>
      <c r="Z872" s="720"/>
      <c r="AA872" s="720"/>
      <c r="AB872" s="720"/>
    </row>
    <row r="873" spans="1:28" ht="12.75" customHeight="1">
      <c r="A873" s="902"/>
      <c r="B873" s="903"/>
      <c r="C873" s="720"/>
      <c r="D873" s="720"/>
      <c r="E873" s="720"/>
      <c r="F873" s="720"/>
      <c r="G873" s="906"/>
      <c r="H873" s="720"/>
      <c r="I873" s="720"/>
      <c r="J873" s="720"/>
      <c r="K873" s="907"/>
      <c r="L873" s="720"/>
      <c r="M873" s="720"/>
      <c r="N873" s="720"/>
      <c r="O873" s="720"/>
      <c r="P873" s="720"/>
      <c r="Q873" s="720"/>
      <c r="R873" s="720"/>
      <c r="S873" s="720"/>
      <c r="T873" s="720"/>
      <c r="U873" s="720"/>
      <c r="V873" s="720"/>
      <c r="W873" s="720"/>
      <c r="X873" s="720"/>
      <c r="Y873" s="720"/>
      <c r="Z873" s="720"/>
      <c r="AA873" s="720"/>
      <c r="AB873" s="720"/>
    </row>
    <row r="874" spans="1:28" ht="12.75" customHeight="1">
      <c r="A874" s="902"/>
      <c r="B874" s="903"/>
      <c r="C874" s="720"/>
      <c r="D874" s="720"/>
      <c r="E874" s="720"/>
      <c r="F874" s="720"/>
      <c r="G874" s="906"/>
      <c r="H874" s="720"/>
      <c r="I874" s="720"/>
      <c r="J874" s="720"/>
      <c r="K874" s="907"/>
      <c r="L874" s="720"/>
      <c r="M874" s="720"/>
      <c r="N874" s="720"/>
      <c r="O874" s="720"/>
      <c r="P874" s="720"/>
      <c r="Q874" s="720"/>
      <c r="R874" s="720"/>
      <c r="S874" s="720"/>
      <c r="T874" s="720"/>
      <c r="U874" s="720"/>
      <c r="V874" s="720"/>
      <c r="W874" s="720"/>
      <c r="X874" s="720"/>
      <c r="Y874" s="720"/>
      <c r="Z874" s="720"/>
      <c r="AA874" s="720"/>
      <c r="AB874" s="720"/>
    </row>
    <row r="875" spans="1:28" ht="12.75" customHeight="1">
      <c r="A875" s="902"/>
      <c r="B875" s="903"/>
      <c r="C875" s="720"/>
      <c r="D875" s="720"/>
      <c r="E875" s="720"/>
      <c r="F875" s="720"/>
      <c r="G875" s="906"/>
      <c r="H875" s="720"/>
      <c r="I875" s="720"/>
      <c r="J875" s="720"/>
      <c r="K875" s="907"/>
      <c r="L875" s="720"/>
      <c r="M875" s="720"/>
      <c r="N875" s="720"/>
      <c r="O875" s="720"/>
      <c r="P875" s="720"/>
      <c r="Q875" s="720"/>
      <c r="R875" s="720"/>
      <c r="S875" s="720"/>
      <c r="T875" s="720"/>
      <c r="U875" s="720"/>
      <c r="V875" s="720"/>
      <c r="W875" s="720"/>
      <c r="X875" s="720"/>
      <c r="Y875" s="720"/>
      <c r="Z875" s="720"/>
      <c r="AA875" s="720"/>
      <c r="AB875" s="720"/>
    </row>
    <row r="876" spans="1:28" ht="12.75" customHeight="1">
      <c r="A876" s="902"/>
      <c r="B876" s="903"/>
      <c r="C876" s="720"/>
      <c r="D876" s="720"/>
      <c r="E876" s="720"/>
      <c r="F876" s="720"/>
      <c r="G876" s="906"/>
      <c r="H876" s="720"/>
      <c r="I876" s="720"/>
      <c r="J876" s="720"/>
      <c r="K876" s="907"/>
      <c r="L876" s="720"/>
      <c r="M876" s="720"/>
      <c r="N876" s="720"/>
      <c r="O876" s="720"/>
      <c r="P876" s="720"/>
      <c r="Q876" s="720"/>
      <c r="R876" s="720"/>
      <c r="S876" s="720"/>
      <c r="T876" s="720"/>
      <c r="U876" s="720"/>
      <c r="V876" s="720"/>
      <c r="W876" s="720"/>
      <c r="X876" s="720"/>
      <c r="Y876" s="720"/>
      <c r="Z876" s="720"/>
      <c r="AA876" s="720"/>
      <c r="AB876" s="720"/>
    </row>
    <row r="877" spans="1:28" ht="12.75" customHeight="1">
      <c r="A877" s="902"/>
      <c r="B877" s="903"/>
      <c r="C877" s="720"/>
      <c r="D877" s="720"/>
      <c r="E877" s="720"/>
      <c r="F877" s="720"/>
      <c r="G877" s="906"/>
      <c r="H877" s="720"/>
      <c r="I877" s="720"/>
      <c r="J877" s="720"/>
      <c r="K877" s="907"/>
      <c r="L877" s="720"/>
      <c r="M877" s="720"/>
      <c r="N877" s="720"/>
      <c r="O877" s="720"/>
      <c r="P877" s="720"/>
      <c r="Q877" s="720"/>
      <c r="R877" s="720"/>
      <c r="S877" s="720"/>
      <c r="T877" s="720"/>
      <c r="U877" s="720"/>
      <c r="V877" s="720"/>
      <c r="W877" s="720"/>
      <c r="X877" s="720"/>
      <c r="Y877" s="720"/>
      <c r="Z877" s="720"/>
      <c r="AA877" s="720"/>
      <c r="AB877" s="720"/>
    </row>
    <row r="878" spans="1:28" ht="12.75" customHeight="1">
      <c r="A878" s="902"/>
      <c r="B878" s="903"/>
      <c r="C878" s="720"/>
      <c r="D878" s="720"/>
      <c r="E878" s="720"/>
      <c r="F878" s="720"/>
      <c r="G878" s="906"/>
      <c r="H878" s="720"/>
      <c r="I878" s="720"/>
      <c r="J878" s="720"/>
      <c r="K878" s="907"/>
      <c r="L878" s="720"/>
      <c r="M878" s="720"/>
      <c r="N878" s="720"/>
      <c r="O878" s="720"/>
      <c r="P878" s="720"/>
      <c r="Q878" s="720"/>
      <c r="R878" s="720"/>
      <c r="S878" s="720"/>
      <c r="T878" s="720"/>
      <c r="U878" s="720"/>
      <c r="V878" s="720"/>
      <c r="W878" s="720"/>
      <c r="X878" s="720"/>
      <c r="Y878" s="720"/>
      <c r="Z878" s="720"/>
      <c r="AA878" s="720"/>
      <c r="AB878" s="720"/>
    </row>
    <row r="879" spans="1:28" ht="12.75" customHeight="1">
      <c r="A879" s="902"/>
      <c r="B879" s="903"/>
      <c r="C879" s="720"/>
      <c r="D879" s="720"/>
      <c r="E879" s="720"/>
      <c r="F879" s="720"/>
      <c r="G879" s="906"/>
      <c r="H879" s="720"/>
      <c r="I879" s="720"/>
      <c r="J879" s="720"/>
      <c r="K879" s="907"/>
      <c r="L879" s="720"/>
      <c r="M879" s="720"/>
      <c r="N879" s="720"/>
      <c r="O879" s="720"/>
      <c r="P879" s="720"/>
      <c r="Q879" s="720"/>
      <c r="R879" s="720"/>
      <c r="S879" s="720"/>
      <c r="T879" s="720"/>
      <c r="U879" s="720"/>
      <c r="V879" s="720"/>
      <c r="W879" s="720"/>
      <c r="X879" s="720"/>
      <c r="Y879" s="720"/>
      <c r="Z879" s="720"/>
      <c r="AA879" s="720"/>
      <c r="AB879" s="720"/>
    </row>
    <row r="880" spans="1:28" ht="12.75" customHeight="1">
      <c r="A880" s="902"/>
      <c r="B880" s="903"/>
      <c r="C880" s="720"/>
      <c r="D880" s="720"/>
      <c r="E880" s="720"/>
      <c r="F880" s="720"/>
      <c r="G880" s="906"/>
      <c r="H880" s="720"/>
      <c r="I880" s="720"/>
      <c r="J880" s="720"/>
      <c r="K880" s="907"/>
      <c r="L880" s="720"/>
      <c r="M880" s="720"/>
      <c r="N880" s="720"/>
      <c r="O880" s="720"/>
      <c r="P880" s="720"/>
      <c r="Q880" s="720"/>
      <c r="R880" s="720"/>
      <c r="S880" s="720"/>
      <c r="T880" s="720"/>
      <c r="U880" s="720"/>
      <c r="V880" s="720"/>
      <c r="W880" s="720"/>
      <c r="X880" s="720"/>
      <c r="Y880" s="720"/>
      <c r="Z880" s="720"/>
      <c r="AA880" s="720"/>
      <c r="AB880" s="720"/>
    </row>
    <row r="881" spans="1:28" ht="12.75" customHeight="1">
      <c r="A881" s="902"/>
      <c r="B881" s="903"/>
      <c r="C881" s="720"/>
      <c r="D881" s="720"/>
      <c r="E881" s="720"/>
      <c r="F881" s="720"/>
      <c r="G881" s="906"/>
      <c r="H881" s="720"/>
      <c r="I881" s="720"/>
      <c r="J881" s="720"/>
      <c r="K881" s="907"/>
      <c r="L881" s="720"/>
      <c r="M881" s="720"/>
      <c r="N881" s="720"/>
      <c r="O881" s="720"/>
      <c r="P881" s="720"/>
      <c r="Q881" s="720"/>
      <c r="R881" s="720"/>
      <c r="S881" s="720"/>
      <c r="T881" s="720"/>
      <c r="U881" s="720"/>
      <c r="V881" s="720"/>
      <c r="W881" s="720"/>
      <c r="X881" s="720"/>
      <c r="Y881" s="720"/>
      <c r="Z881" s="720"/>
      <c r="AA881" s="720"/>
      <c r="AB881" s="720"/>
    </row>
    <row r="882" spans="1:28" ht="12.75" customHeight="1">
      <c r="A882" s="902"/>
      <c r="B882" s="903"/>
      <c r="C882" s="720"/>
      <c r="D882" s="720"/>
      <c r="E882" s="720"/>
      <c r="F882" s="720"/>
      <c r="G882" s="906"/>
      <c r="H882" s="720"/>
      <c r="I882" s="720"/>
      <c r="J882" s="720"/>
      <c r="K882" s="907"/>
      <c r="L882" s="720"/>
      <c r="M882" s="720"/>
      <c r="N882" s="720"/>
      <c r="O882" s="720"/>
      <c r="P882" s="720"/>
      <c r="Q882" s="720"/>
      <c r="R882" s="720"/>
      <c r="S882" s="720"/>
      <c r="T882" s="720"/>
      <c r="U882" s="720"/>
      <c r="V882" s="720"/>
      <c r="W882" s="720"/>
      <c r="X882" s="720"/>
      <c r="Y882" s="720"/>
      <c r="Z882" s="720"/>
      <c r="AA882" s="720"/>
      <c r="AB882" s="720"/>
    </row>
    <row r="883" spans="1:28" ht="12.75" customHeight="1">
      <c r="A883" s="902"/>
      <c r="B883" s="903"/>
      <c r="C883" s="720"/>
      <c r="D883" s="720"/>
      <c r="E883" s="720"/>
      <c r="F883" s="720"/>
      <c r="G883" s="906"/>
      <c r="H883" s="720"/>
      <c r="I883" s="720"/>
      <c r="J883" s="720"/>
      <c r="K883" s="907"/>
      <c r="L883" s="720"/>
      <c r="M883" s="720"/>
      <c r="N883" s="720"/>
      <c r="O883" s="720"/>
      <c r="P883" s="720"/>
      <c r="Q883" s="720"/>
      <c r="R883" s="720"/>
      <c r="S883" s="720"/>
      <c r="T883" s="720"/>
      <c r="U883" s="720"/>
      <c r="V883" s="720"/>
      <c r="W883" s="720"/>
      <c r="X883" s="720"/>
      <c r="Y883" s="720"/>
      <c r="Z883" s="720"/>
      <c r="AA883" s="720"/>
      <c r="AB883" s="720"/>
    </row>
    <row r="884" spans="1:28" ht="12.75" customHeight="1">
      <c r="A884" s="902"/>
      <c r="B884" s="903"/>
      <c r="C884" s="720"/>
      <c r="D884" s="720"/>
      <c r="E884" s="720"/>
      <c r="F884" s="720"/>
      <c r="G884" s="906"/>
      <c r="H884" s="720"/>
      <c r="I884" s="720"/>
      <c r="J884" s="720"/>
      <c r="K884" s="907"/>
      <c r="L884" s="720"/>
      <c r="M884" s="720"/>
      <c r="N884" s="720"/>
      <c r="O884" s="720"/>
      <c r="P884" s="720"/>
      <c r="Q884" s="720"/>
      <c r="R884" s="720"/>
      <c r="S884" s="720"/>
      <c r="T884" s="720"/>
      <c r="U884" s="720"/>
      <c r="V884" s="720"/>
      <c r="W884" s="720"/>
      <c r="X884" s="720"/>
      <c r="Y884" s="720"/>
      <c r="Z884" s="720"/>
      <c r="AA884" s="720"/>
      <c r="AB884" s="720"/>
    </row>
    <row r="885" spans="1:28" ht="12.75" customHeight="1">
      <c r="A885" s="902"/>
      <c r="B885" s="903"/>
      <c r="C885" s="720"/>
      <c r="D885" s="720"/>
      <c r="E885" s="720"/>
      <c r="F885" s="720"/>
      <c r="G885" s="906"/>
      <c r="H885" s="720"/>
      <c r="I885" s="720"/>
      <c r="J885" s="720"/>
      <c r="K885" s="907"/>
      <c r="L885" s="720"/>
      <c r="M885" s="720"/>
      <c r="N885" s="720"/>
      <c r="O885" s="720"/>
      <c r="P885" s="720"/>
      <c r="Q885" s="720"/>
      <c r="R885" s="720"/>
      <c r="S885" s="720"/>
      <c r="T885" s="720"/>
      <c r="U885" s="720"/>
      <c r="V885" s="720"/>
      <c r="W885" s="720"/>
      <c r="X885" s="720"/>
      <c r="Y885" s="720"/>
      <c r="Z885" s="720"/>
      <c r="AA885" s="720"/>
      <c r="AB885" s="720"/>
    </row>
    <row r="886" spans="1:28" ht="12.75" customHeight="1">
      <c r="A886" s="902"/>
      <c r="B886" s="903"/>
      <c r="C886" s="720"/>
      <c r="D886" s="720"/>
      <c r="E886" s="720"/>
      <c r="F886" s="720"/>
      <c r="G886" s="906"/>
      <c r="H886" s="720"/>
      <c r="I886" s="720"/>
      <c r="J886" s="720"/>
      <c r="K886" s="907"/>
      <c r="L886" s="720"/>
      <c r="M886" s="720"/>
      <c r="N886" s="720"/>
      <c r="O886" s="720"/>
      <c r="P886" s="720"/>
      <c r="Q886" s="720"/>
      <c r="R886" s="720"/>
      <c r="S886" s="720"/>
      <c r="T886" s="720"/>
      <c r="U886" s="720"/>
      <c r="V886" s="720"/>
      <c r="W886" s="720"/>
      <c r="X886" s="720"/>
      <c r="Y886" s="720"/>
      <c r="Z886" s="720"/>
      <c r="AA886" s="720"/>
      <c r="AB886" s="720"/>
    </row>
    <row r="887" spans="1:28" ht="12.75" customHeight="1">
      <c r="A887" s="902"/>
      <c r="B887" s="903"/>
      <c r="C887" s="720"/>
      <c r="D887" s="720"/>
      <c r="E887" s="720"/>
      <c r="F887" s="720"/>
      <c r="G887" s="906"/>
      <c r="H887" s="720"/>
      <c r="I887" s="720"/>
      <c r="J887" s="720"/>
      <c r="K887" s="907"/>
      <c r="L887" s="720"/>
      <c r="M887" s="720"/>
      <c r="N887" s="720"/>
      <c r="O887" s="720"/>
      <c r="P887" s="720"/>
      <c r="Q887" s="720"/>
      <c r="R887" s="720"/>
      <c r="S887" s="720"/>
      <c r="T887" s="720"/>
      <c r="U887" s="720"/>
      <c r="V887" s="720"/>
      <c r="W887" s="720"/>
      <c r="X887" s="720"/>
      <c r="Y887" s="720"/>
      <c r="Z887" s="720"/>
      <c r="AA887" s="720"/>
      <c r="AB887" s="720"/>
    </row>
    <row r="888" spans="1:28" ht="12.75" customHeight="1">
      <c r="A888" s="902"/>
      <c r="B888" s="903"/>
      <c r="C888" s="720"/>
      <c r="D888" s="720"/>
      <c r="E888" s="720"/>
      <c r="F888" s="720"/>
      <c r="G888" s="906"/>
      <c r="H888" s="720"/>
      <c r="I888" s="720"/>
      <c r="J888" s="720"/>
      <c r="K888" s="907"/>
      <c r="L888" s="720"/>
      <c r="M888" s="720"/>
      <c r="N888" s="720"/>
      <c r="O888" s="720"/>
      <c r="P888" s="720"/>
      <c r="Q888" s="720"/>
      <c r="R888" s="720"/>
      <c r="S888" s="720"/>
      <c r="T888" s="720"/>
      <c r="U888" s="720"/>
      <c r="V888" s="720"/>
      <c r="W888" s="720"/>
      <c r="X888" s="720"/>
      <c r="Y888" s="720"/>
      <c r="Z888" s="720"/>
      <c r="AA888" s="720"/>
      <c r="AB888" s="720"/>
    </row>
    <row r="889" spans="1:28" ht="12.75" customHeight="1">
      <c r="A889" s="902"/>
      <c r="B889" s="903"/>
      <c r="C889" s="720"/>
      <c r="D889" s="720"/>
      <c r="E889" s="720"/>
      <c r="F889" s="720"/>
      <c r="G889" s="906"/>
      <c r="H889" s="720"/>
      <c r="I889" s="720"/>
      <c r="J889" s="720"/>
      <c r="K889" s="907"/>
      <c r="L889" s="720"/>
      <c r="M889" s="720"/>
      <c r="N889" s="720"/>
      <c r="O889" s="720"/>
      <c r="P889" s="720"/>
      <c r="Q889" s="720"/>
      <c r="R889" s="720"/>
      <c r="S889" s="720"/>
      <c r="T889" s="720"/>
      <c r="U889" s="720"/>
      <c r="V889" s="720"/>
      <c r="W889" s="720"/>
      <c r="X889" s="720"/>
      <c r="Y889" s="720"/>
      <c r="Z889" s="720"/>
      <c r="AA889" s="720"/>
      <c r="AB889" s="720"/>
    </row>
    <row r="890" spans="1:28" ht="12.75" customHeight="1">
      <c r="A890" s="902"/>
      <c r="B890" s="903"/>
      <c r="C890" s="720"/>
      <c r="D890" s="720"/>
      <c r="E890" s="720"/>
      <c r="F890" s="720"/>
      <c r="G890" s="906"/>
      <c r="H890" s="720"/>
      <c r="I890" s="720"/>
      <c r="J890" s="720"/>
      <c r="K890" s="907"/>
      <c r="L890" s="720"/>
      <c r="M890" s="720"/>
      <c r="N890" s="720"/>
      <c r="O890" s="720"/>
      <c r="P890" s="720"/>
      <c r="Q890" s="720"/>
      <c r="R890" s="720"/>
      <c r="S890" s="720"/>
      <c r="T890" s="720"/>
      <c r="U890" s="720"/>
      <c r="V890" s="720"/>
      <c r="W890" s="720"/>
      <c r="X890" s="720"/>
      <c r="Y890" s="720"/>
      <c r="Z890" s="720"/>
      <c r="AA890" s="720"/>
      <c r="AB890" s="720"/>
    </row>
    <row r="891" spans="1:28" ht="12.75" customHeight="1">
      <c r="A891" s="902"/>
      <c r="B891" s="903"/>
      <c r="C891" s="720"/>
      <c r="D891" s="720"/>
      <c r="E891" s="720"/>
      <c r="F891" s="720"/>
      <c r="G891" s="906"/>
      <c r="H891" s="720"/>
      <c r="I891" s="720"/>
      <c r="J891" s="720"/>
      <c r="K891" s="907"/>
      <c r="L891" s="720"/>
      <c r="M891" s="720"/>
      <c r="N891" s="720"/>
      <c r="O891" s="720"/>
      <c r="P891" s="720"/>
      <c r="Q891" s="720"/>
      <c r="R891" s="720"/>
      <c r="S891" s="720"/>
      <c r="T891" s="720"/>
      <c r="U891" s="720"/>
      <c r="V891" s="720"/>
      <c r="W891" s="720"/>
      <c r="X891" s="720"/>
      <c r="Y891" s="720"/>
      <c r="Z891" s="720"/>
      <c r="AA891" s="720"/>
      <c r="AB891" s="720"/>
    </row>
    <row r="892" spans="1:28" ht="12.75" customHeight="1">
      <c r="A892" s="902"/>
      <c r="B892" s="903"/>
      <c r="C892" s="720"/>
      <c r="D892" s="720"/>
      <c r="E892" s="720"/>
      <c r="F892" s="720"/>
      <c r="G892" s="906"/>
      <c r="H892" s="720"/>
      <c r="I892" s="720"/>
      <c r="J892" s="720"/>
      <c r="K892" s="907"/>
      <c r="L892" s="720"/>
      <c r="M892" s="720"/>
      <c r="N892" s="720"/>
      <c r="O892" s="720"/>
      <c r="P892" s="720"/>
      <c r="Q892" s="720"/>
      <c r="R892" s="720"/>
      <c r="S892" s="720"/>
      <c r="T892" s="720"/>
      <c r="U892" s="720"/>
      <c r="V892" s="720"/>
      <c r="W892" s="720"/>
      <c r="X892" s="720"/>
      <c r="Y892" s="720"/>
      <c r="Z892" s="720"/>
      <c r="AA892" s="720"/>
      <c r="AB892" s="720"/>
    </row>
    <row r="893" spans="1:28" ht="12.75" customHeight="1">
      <c r="A893" s="902"/>
      <c r="B893" s="903"/>
      <c r="C893" s="720"/>
      <c r="D893" s="720"/>
      <c r="E893" s="720"/>
      <c r="F893" s="720"/>
      <c r="G893" s="906"/>
      <c r="H893" s="720"/>
      <c r="I893" s="720"/>
      <c r="J893" s="720"/>
      <c r="K893" s="907"/>
      <c r="L893" s="720"/>
      <c r="M893" s="720"/>
      <c r="N893" s="720"/>
      <c r="O893" s="720"/>
      <c r="P893" s="720"/>
      <c r="Q893" s="720"/>
      <c r="R893" s="720"/>
      <c r="S893" s="720"/>
      <c r="T893" s="720"/>
      <c r="U893" s="720"/>
      <c r="V893" s="720"/>
      <c r="W893" s="720"/>
      <c r="X893" s="720"/>
      <c r="Y893" s="720"/>
      <c r="Z893" s="720"/>
      <c r="AA893" s="720"/>
      <c r="AB893" s="720"/>
    </row>
    <row r="894" spans="1:28" ht="12.75" customHeight="1">
      <c r="A894" s="902"/>
      <c r="B894" s="903"/>
      <c r="C894" s="720"/>
      <c r="D894" s="720"/>
      <c r="E894" s="720"/>
      <c r="F894" s="720"/>
      <c r="G894" s="906"/>
      <c r="H894" s="720"/>
      <c r="I894" s="720"/>
      <c r="J894" s="720"/>
      <c r="K894" s="907"/>
      <c r="L894" s="720"/>
      <c r="M894" s="720"/>
      <c r="N894" s="720"/>
      <c r="O894" s="720"/>
      <c r="P894" s="720"/>
      <c r="Q894" s="720"/>
      <c r="R894" s="720"/>
      <c r="S894" s="720"/>
      <c r="T894" s="720"/>
      <c r="U894" s="720"/>
      <c r="V894" s="720"/>
      <c r="W894" s="720"/>
      <c r="X894" s="720"/>
      <c r="Y894" s="720"/>
      <c r="Z894" s="720"/>
      <c r="AA894" s="720"/>
      <c r="AB894" s="720"/>
    </row>
    <row r="895" spans="1:28" ht="12.75" customHeight="1">
      <c r="A895" s="902"/>
      <c r="B895" s="903"/>
      <c r="C895" s="720"/>
      <c r="D895" s="720"/>
      <c r="E895" s="720"/>
      <c r="F895" s="720"/>
      <c r="G895" s="906"/>
      <c r="H895" s="720"/>
      <c r="I895" s="720"/>
      <c r="J895" s="720"/>
      <c r="K895" s="907"/>
      <c r="L895" s="720"/>
      <c r="M895" s="720"/>
      <c r="N895" s="720"/>
      <c r="O895" s="720"/>
      <c r="P895" s="720"/>
      <c r="Q895" s="720"/>
      <c r="R895" s="720"/>
      <c r="S895" s="720"/>
      <c r="T895" s="720"/>
      <c r="U895" s="720"/>
      <c r="V895" s="720"/>
      <c r="W895" s="720"/>
      <c r="X895" s="720"/>
      <c r="Y895" s="720"/>
      <c r="Z895" s="720"/>
      <c r="AA895" s="720"/>
      <c r="AB895" s="720"/>
    </row>
    <row r="896" spans="1:28" ht="12.75" customHeight="1">
      <c r="A896" s="902"/>
      <c r="B896" s="903"/>
      <c r="C896" s="720"/>
      <c r="D896" s="720"/>
      <c r="E896" s="720"/>
      <c r="F896" s="720"/>
      <c r="G896" s="906"/>
      <c r="H896" s="720"/>
      <c r="I896" s="720"/>
      <c r="J896" s="720"/>
      <c r="K896" s="907"/>
      <c r="L896" s="720"/>
      <c r="M896" s="720"/>
      <c r="N896" s="720"/>
      <c r="O896" s="720"/>
      <c r="P896" s="720"/>
      <c r="Q896" s="720"/>
      <c r="R896" s="720"/>
      <c r="S896" s="720"/>
      <c r="T896" s="720"/>
      <c r="U896" s="720"/>
      <c r="V896" s="720"/>
      <c r="W896" s="720"/>
      <c r="X896" s="720"/>
      <c r="Y896" s="720"/>
      <c r="Z896" s="720"/>
      <c r="AA896" s="720"/>
      <c r="AB896" s="720"/>
    </row>
    <row r="897" spans="1:28" ht="12.75" customHeight="1">
      <c r="A897" s="902"/>
      <c r="B897" s="903"/>
      <c r="C897" s="720"/>
      <c r="D897" s="720"/>
      <c r="E897" s="720"/>
      <c r="F897" s="720"/>
      <c r="G897" s="906"/>
      <c r="H897" s="720"/>
      <c r="I897" s="720"/>
      <c r="J897" s="720"/>
      <c r="K897" s="907"/>
      <c r="L897" s="720"/>
      <c r="M897" s="720"/>
      <c r="N897" s="720"/>
      <c r="O897" s="720"/>
      <c r="P897" s="720"/>
      <c r="Q897" s="720"/>
      <c r="R897" s="720"/>
      <c r="S897" s="720"/>
      <c r="T897" s="720"/>
      <c r="U897" s="720"/>
      <c r="V897" s="720"/>
      <c r="W897" s="720"/>
      <c r="X897" s="720"/>
      <c r="Y897" s="720"/>
      <c r="Z897" s="720"/>
      <c r="AA897" s="720"/>
      <c r="AB897" s="720"/>
    </row>
    <row r="898" spans="1:28" ht="12.75" customHeight="1">
      <c r="A898" s="902"/>
      <c r="B898" s="903"/>
      <c r="C898" s="720"/>
      <c r="D898" s="720"/>
      <c r="E898" s="720"/>
      <c r="F898" s="720"/>
      <c r="G898" s="906"/>
      <c r="H898" s="720"/>
      <c r="I898" s="720"/>
      <c r="J898" s="720"/>
      <c r="K898" s="907"/>
      <c r="L898" s="720"/>
      <c r="M898" s="720"/>
      <c r="N898" s="720"/>
      <c r="O898" s="720"/>
      <c r="P898" s="720"/>
      <c r="Q898" s="720"/>
      <c r="R898" s="720"/>
      <c r="S898" s="720"/>
      <c r="T898" s="720"/>
      <c r="U898" s="720"/>
      <c r="V898" s="720"/>
      <c r="W898" s="720"/>
      <c r="X898" s="720"/>
      <c r="Y898" s="720"/>
      <c r="Z898" s="720"/>
      <c r="AA898" s="720"/>
      <c r="AB898" s="720"/>
    </row>
    <row r="899" spans="1:28" ht="12.75" customHeight="1">
      <c r="A899" s="902"/>
      <c r="B899" s="903"/>
      <c r="C899" s="720"/>
      <c r="D899" s="720"/>
      <c r="E899" s="720"/>
      <c r="F899" s="720"/>
      <c r="G899" s="906"/>
      <c r="H899" s="720"/>
      <c r="I899" s="720"/>
      <c r="J899" s="720"/>
      <c r="K899" s="907"/>
      <c r="L899" s="720"/>
      <c r="M899" s="720"/>
      <c r="N899" s="720"/>
      <c r="O899" s="720"/>
      <c r="P899" s="720"/>
      <c r="Q899" s="720"/>
      <c r="R899" s="720"/>
      <c r="S899" s="720"/>
      <c r="T899" s="720"/>
      <c r="U899" s="720"/>
      <c r="V899" s="720"/>
      <c r="W899" s="720"/>
      <c r="X899" s="720"/>
      <c r="Y899" s="720"/>
      <c r="Z899" s="720"/>
      <c r="AA899" s="720"/>
      <c r="AB899" s="720"/>
    </row>
    <row r="900" spans="1:28" ht="12.75" customHeight="1">
      <c r="A900" s="902"/>
      <c r="B900" s="903"/>
      <c r="C900" s="720"/>
      <c r="D900" s="720"/>
      <c r="E900" s="720"/>
      <c r="F900" s="720"/>
      <c r="G900" s="906"/>
      <c r="H900" s="720"/>
      <c r="I900" s="720"/>
      <c r="J900" s="720"/>
      <c r="K900" s="907"/>
      <c r="L900" s="720"/>
      <c r="M900" s="720"/>
      <c r="N900" s="720"/>
      <c r="O900" s="720"/>
      <c r="P900" s="720"/>
      <c r="Q900" s="720"/>
      <c r="R900" s="720"/>
      <c r="S900" s="720"/>
      <c r="T900" s="720"/>
      <c r="U900" s="720"/>
      <c r="V900" s="720"/>
      <c r="W900" s="720"/>
      <c r="X900" s="720"/>
      <c r="Y900" s="720"/>
      <c r="Z900" s="720"/>
      <c r="AA900" s="720"/>
      <c r="AB900" s="720"/>
    </row>
    <row r="901" spans="1:28" ht="12.75" customHeight="1">
      <c r="A901" s="902"/>
      <c r="B901" s="903"/>
      <c r="C901" s="720"/>
      <c r="D901" s="720"/>
      <c r="E901" s="720"/>
      <c r="F901" s="720"/>
      <c r="G901" s="906"/>
      <c r="H901" s="720"/>
      <c r="I901" s="720"/>
      <c r="J901" s="720"/>
      <c r="K901" s="907"/>
      <c r="L901" s="720"/>
      <c r="M901" s="720"/>
      <c r="N901" s="720"/>
      <c r="O901" s="720"/>
      <c r="P901" s="720"/>
      <c r="Q901" s="720"/>
      <c r="R901" s="720"/>
      <c r="S901" s="720"/>
      <c r="T901" s="720"/>
      <c r="U901" s="720"/>
      <c r="V901" s="720"/>
      <c r="W901" s="720"/>
      <c r="X901" s="720"/>
      <c r="Y901" s="720"/>
      <c r="Z901" s="720"/>
      <c r="AA901" s="720"/>
      <c r="AB901" s="720"/>
    </row>
    <row r="902" spans="1:28" ht="12.75" customHeight="1">
      <c r="A902" s="902"/>
      <c r="B902" s="903"/>
      <c r="C902" s="720"/>
      <c r="D902" s="720"/>
      <c r="E902" s="720"/>
      <c r="F902" s="720"/>
      <c r="G902" s="906"/>
      <c r="H902" s="720"/>
      <c r="I902" s="720"/>
      <c r="J902" s="720"/>
      <c r="K902" s="907"/>
      <c r="L902" s="720"/>
      <c r="M902" s="720"/>
      <c r="N902" s="720"/>
      <c r="O902" s="720"/>
      <c r="P902" s="720"/>
      <c r="Q902" s="720"/>
      <c r="R902" s="720"/>
      <c r="S902" s="720"/>
      <c r="T902" s="720"/>
      <c r="U902" s="720"/>
      <c r="V902" s="720"/>
      <c r="W902" s="720"/>
      <c r="X902" s="720"/>
      <c r="Y902" s="720"/>
      <c r="Z902" s="720"/>
      <c r="AA902" s="720"/>
      <c r="AB902" s="720"/>
    </row>
    <row r="903" spans="1:28" ht="12.75" customHeight="1">
      <c r="A903" s="902"/>
      <c r="B903" s="903"/>
      <c r="C903" s="720"/>
      <c r="D903" s="720"/>
      <c r="E903" s="720"/>
      <c r="F903" s="720"/>
      <c r="G903" s="906"/>
      <c r="H903" s="720"/>
      <c r="I903" s="720"/>
      <c r="J903" s="720"/>
      <c r="K903" s="907"/>
      <c r="L903" s="720"/>
      <c r="M903" s="720"/>
      <c r="N903" s="720"/>
      <c r="O903" s="720"/>
      <c r="P903" s="720"/>
      <c r="Q903" s="720"/>
      <c r="R903" s="720"/>
      <c r="S903" s="720"/>
      <c r="T903" s="720"/>
      <c r="U903" s="720"/>
      <c r="V903" s="720"/>
      <c r="W903" s="720"/>
      <c r="X903" s="720"/>
      <c r="Y903" s="720"/>
      <c r="Z903" s="720"/>
      <c r="AA903" s="720"/>
      <c r="AB903" s="720"/>
    </row>
    <row r="904" spans="1:28" ht="12.75" customHeight="1">
      <c r="A904" s="902"/>
      <c r="B904" s="903"/>
      <c r="C904" s="720"/>
      <c r="D904" s="720"/>
      <c r="E904" s="720"/>
      <c r="F904" s="720"/>
      <c r="G904" s="906"/>
      <c r="H904" s="720"/>
      <c r="I904" s="720"/>
      <c r="J904" s="720"/>
      <c r="K904" s="907"/>
      <c r="L904" s="720"/>
      <c r="M904" s="720"/>
      <c r="N904" s="720"/>
      <c r="O904" s="720"/>
      <c r="P904" s="720"/>
      <c r="Q904" s="720"/>
      <c r="R904" s="720"/>
      <c r="S904" s="720"/>
      <c r="T904" s="720"/>
      <c r="U904" s="720"/>
      <c r="V904" s="720"/>
      <c r="W904" s="720"/>
      <c r="X904" s="720"/>
      <c r="Y904" s="720"/>
      <c r="Z904" s="720"/>
      <c r="AA904" s="720"/>
      <c r="AB904" s="720"/>
    </row>
    <row r="905" spans="1:28" ht="12.75" customHeight="1">
      <c r="A905" s="902"/>
      <c r="B905" s="903"/>
      <c r="C905" s="720"/>
      <c r="D905" s="720"/>
      <c r="E905" s="720"/>
      <c r="F905" s="720"/>
      <c r="G905" s="906"/>
      <c r="H905" s="720"/>
      <c r="I905" s="720"/>
      <c r="J905" s="720"/>
      <c r="K905" s="907"/>
      <c r="L905" s="720"/>
      <c r="M905" s="720"/>
      <c r="N905" s="720"/>
      <c r="O905" s="720"/>
      <c r="P905" s="720"/>
      <c r="Q905" s="720"/>
      <c r="R905" s="720"/>
      <c r="S905" s="720"/>
      <c r="T905" s="720"/>
      <c r="U905" s="720"/>
      <c r="V905" s="720"/>
      <c r="W905" s="720"/>
      <c r="X905" s="720"/>
      <c r="Y905" s="720"/>
      <c r="Z905" s="720"/>
      <c r="AA905" s="720"/>
      <c r="AB905" s="720"/>
    </row>
    <row r="906" spans="1:28" ht="12.75" customHeight="1">
      <c r="A906" s="902"/>
      <c r="B906" s="903"/>
      <c r="C906" s="720"/>
      <c r="D906" s="720"/>
      <c r="E906" s="720"/>
      <c r="F906" s="720"/>
      <c r="G906" s="906"/>
      <c r="H906" s="720"/>
      <c r="I906" s="720"/>
      <c r="J906" s="720"/>
      <c r="K906" s="907"/>
      <c r="L906" s="720"/>
      <c r="M906" s="720"/>
      <c r="N906" s="720"/>
      <c r="O906" s="720"/>
      <c r="P906" s="720"/>
      <c r="Q906" s="720"/>
      <c r="R906" s="720"/>
      <c r="S906" s="720"/>
      <c r="T906" s="720"/>
      <c r="U906" s="720"/>
      <c r="V906" s="720"/>
      <c r="W906" s="720"/>
      <c r="X906" s="720"/>
      <c r="Y906" s="720"/>
      <c r="Z906" s="720"/>
      <c r="AA906" s="720"/>
      <c r="AB906" s="720"/>
    </row>
    <row r="907" spans="1:28" ht="12.75" customHeight="1">
      <c r="A907" s="902"/>
      <c r="B907" s="903"/>
      <c r="C907" s="720"/>
      <c r="D907" s="720"/>
      <c r="E907" s="720"/>
      <c r="F907" s="720"/>
      <c r="G907" s="906"/>
      <c r="H907" s="720"/>
      <c r="I907" s="720"/>
      <c r="J907" s="720"/>
      <c r="K907" s="907"/>
      <c r="L907" s="720"/>
      <c r="M907" s="720"/>
      <c r="N907" s="720"/>
      <c r="O907" s="720"/>
      <c r="P907" s="720"/>
      <c r="Q907" s="720"/>
      <c r="R907" s="720"/>
      <c r="S907" s="720"/>
      <c r="T907" s="720"/>
      <c r="U907" s="720"/>
      <c r="V907" s="720"/>
      <c r="W907" s="720"/>
      <c r="X907" s="720"/>
      <c r="Y907" s="720"/>
      <c r="Z907" s="720"/>
      <c r="AA907" s="720"/>
      <c r="AB907" s="720"/>
    </row>
    <row r="908" spans="1:28" ht="12.75" customHeight="1">
      <c r="A908" s="902"/>
      <c r="B908" s="903"/>
      <c r="C908" s="720"/>
      <c r="D908" s="720"/>
      <c r="E908" s="720"/>
      <c r="F908" s="720"/>
      <c r="G908" s="906"/>
      <c r="H908" s="720"/>
      <c r="I908" s="720"/>
      <c r="J908" s="720"/>
      <c r="K908" s="907"/>
      <c r="L908" s="720"/>
      <c r="M908" s="720"/>
      <c r="N908" s="720"/>
      <c r="O908" s="720"/>
      <c r="P908" s="720"/>
      <c r="Q908" s="720"/>
      <c r="R908" s="720"/>
      <c r="S908" s="720"/>
      <c r="T908" s="720"/>
      <c r="U908" s="720"/>
      <c r="V908" s="720"/>
      <c r="W908" s="720"/>
      <c r="X908" s="720"/>
      <c r="Y908" s="720"/>
      <c r="Z908" s="720"/>
      <c r="AA908" s="720"/>
      <c r="AB908" s="720"/>
    </row>
    <row r="909" spans="1:28" ht="12.75" customHeight="1">
      <c r="A909" s="902"/>
      <c r="B909" s="903"/>
      <c r="C909" s="720"/>
      <c r="D909" s="720"/>
      <c r="E909" s="720"/>
      <c r="F909" s="720"/>
      <c r="G909" s="906"/>
      <c r="H909" s="720"/>
      <c r="I909" s="720"/>
      <c r="J909" s="720"/>
      <c r="K909" s="907"/>
      <c r="L909" s="720"/>
      <c r="M909" s="720"/>
      <c r="N909" s="720"/>
      <c r="O909" s="720"/>
      <c r="P909" s="720"/>
      <c r="Q909" s="720"/>
      <c r="R909" s="720"/>
      <c r="S909" s="720"/>
      <c r="T909" s="720"/>
      <c r="U909" s="720"/>
      <c r="V909" s="720"/>
      <c r="W909" s="720"/>
      <c r="X909" s="720"/>
      <c r="Y909" s="720"/>
      <c r="Z909" s="720"/>
      <c r="AA909" s="720"/>
      <c r="AB909" s="720"/>
    </row>
    <row r="910" spans="1:28" ht="12.75" customHeight="1">
      <c r="A910" s="902"/>
      <c r="B910" s="903"/>
      <c r="C910" s="720"/>
      <c r="D910" s="720"/>
      <c r="E910" s="720"/>
      <c r="F910" s="720"/>
      <c r="G910" s="906"/>
      <c r="H910" s="720"/>
      <c r="I910" s="720"/>
      <c r="J910" s="720"/>
      <c r="K910" s="907"/>
      <c r="L910" s="720"/>
      <c r="M910" s="720"/>
      <c r="N910" s="720"/>
      <c r="O910" s="720"/>
      <c r="P910" s="720"/>
      <c r="Q910" s="720"/>
      <c r="R910" s="720"/>
      <c r="S910" s="720"/>
      <c r="T910" s="720"/>
      <c r="U910" s="720"/>
      <c r="V910" s="720"/>
      <c r="W910" s="720"/>
      <c r="X910" s="720"/>
      <c r="Y910" s="720"/>
      <c r="Z910" s="720"/>
      <c r="AA910" s="720"/>
      <c r="AB910" s="720"/>
    </row>
    <row r="911" spans="1:28" ht="12.75" customHeight="1">
      <c r="A911" s="902"/>
      <c r="B911" s="903"/>
      <c r="C911" s="720"/>
      <c r="D911" s="720"/>
      <c r="E911" s="720"/>
      <c r="F911" s="720"/>
      <c r="G911" s="906"/>
      <c r="H911" s="720"/>
      <c r="I911" s="720"/>
      <c r="J911" s="720"/>
      <c r="K911" s="907"/>
      <c r="L911" s="720"/>
      <c r="M911" s="720"/>
      <c r="N911" s="720"/>
      <c r="O911" s="720"/>
      <c r="P911" s="720"/>
      <c r="Q911" s="720"/>
      <c r="R911" s="720"/>
      <c r="S911" s="720"/>
      <c r="T911" s="720"/>
      <c r="U911" s="720"/>
      <c r="V911" s="720"/>
      <c r="W911" s="720"/>
      <c r="X911" s="720"/>
      <c r="Y911" s="720"/>
      <c r="Z911" s="720"/>
      <c r="AA911" s="720"/>
      <c r="AB911" s="720"/>
    </row>
    <row r="912" spans="1:28" ht="12.75" customHeight="1">
      <c r="A912" s="902"/>
      <c r="B912" s="903"/>
      <c r="C912" s="720"/>
      <c r="D912" s="720"/>
      <c r="E912" s="720"/>
      <c r="F912" s="720"/>
      <c r="G912" s="906"/>
      <c r="H912" s="720"/>
      <c r="I912" s="720"/>
      <c r="J912" s="720"/>
      <c r="K912" s="907"/>
      <c r="L912" s="720"/>
      <c r="M912" s="720"/>
      <c r="N912" s="720"/>
      <c r="O912" s="720"/>
      <c r="P912" s="720"/>
      <c r="Q912" s="720"/>
      <c r="R912" s="720"/>
      <c r="S912" s="720"/>
      <c r="T912" s="720"/>
      <c r="U912" s="720"/>
      <c r="V912" s="720"/>
      <c r="W912" s="720"/>
      <c r="X912" s="720"/>
      <c r="Y912" s="720"/>
      <c r="Z912" s="720"/>
      <c r="AA912" s="720"/>
      <c r="AB912" s="720"/>
    </row>
    <row r="913" spans="1:28" ht="12.75" customHeight="1">
      <c r="A913" s="902"/>
      <c r="B913" s="903"/>
      <c r="C913" s="720"/>
      <c r="D913" s="720"/>
      <c r="E913" s="720"/>
      <c r="F913" s="720"/>
      <c r="G913" s="906"/>
      <c r="H913" s="720"/>
      <c r="I913" s="720"/>
      <c r="J913" s="720"/>
      <c r="K913" s="907"/>
      <c r="L913" s="720"/>
      <c r="M913" s="720"/>
      <c r="N913" s="720"/>
      <c r="O913" s="720"/>
      <c r="P913" s="720"/>
      <c r="Q913" s="720"/>
      <c r="R913" s="720"/>
      <c r="S913" s="720"/>
      <c r="T913" s="720"/>
      <c r="U913" s="720"/>
      <c r="V913" s="720"/>
      <c r="W913" s="720"/>
      <c r="X913" s="720"/>
      <c r="Y913" s="720"/>
      <c r="Z913" s="720"/>
      <c r="AA913" s="720"/>
      <c r="AB913" s="720"/>
    </row>
    <row r="914" spans="1:28" ht="12.75" customHeight="1">
      <c r="A914" s="902"/>
      <c r="B914" s="903"/>
      <c r="C914" s="720"/>
      <c r="D914" s="720"/>
      <c r="E914" s="720"/>
      <c r="F914" s="720"/>
      <c r="G914" s="906"/>
      <c r="H914" s="720"/>
      <c r="I914" s="720"/>
      <c r="J914" s="720"/>
      <c r="K914" s="907"/>
      <c r="L914" s="720"/>
      <c r="M914" s="720"/>
      <c r="N914" s="720"/>
      <c r="O914" s="720"/>
      <c r="P914" s="720"/>
      <c r="Q914" s="720"/>
      <c r="R914" s="720"/>
      <c r="S914" s="720"/>
      <c r="T914" s="720"/>
      <c r="U914" s="720"/>
      <c r="V914" s="720"/>
      <c r="W914" s="720"/>
      <c r="X914" s="720"/>
      <c r="Y914" s="720"/>
      <c r="Z914" s="720"/>
      <c r="AA914" s="720"/>
      <c r="AB914" s="720"/>
    </row>
    <row r="915" spans="1:28" ht="12.75" customHeight="1">
      <c r="A915" s="902"/>
      <c r="B915" s="903"/>
      <c r="C915" s="720"/>
      <c r="D915" s="720"/>
      <c r="E915" s="720"/>
      <c r="F915" s="720"/>
      <c r="G915" s="906"/>
      <c r="H915" s="720"/>
      <c r="I915" s="720"/>
      <c r="J915" s="720"/>
      <c r="K915" s="907"/>
      <c r="L915" s="720"/>
      <c r="M915" s="720"/>
      <c r="N915" s="720"/>
      <c r="O915" s="720"/>
      <c r="P915" s="720"/>
      <c r="Q915" s="720"/>
      <c r="R915" s="720"/>
      <c r="S915" s="720"/>
      <c r="T915" s="720"/>
      <c r="U915" s="720"/>
      <c r="V915" s="720"/>
      <c r="W915" s="720"/>
      <c r="X915" s="720"/>
      <c r="Y915" s="720"/>
      <c r="Z915" s="720"/>
      <c r="AA915" s="720"/>
      <c r="AB915" s="720"/>
    </row>
    <row r="916" spans="1:28" ht="12.75" customHeight="1">
      <c r="A916" s="902"/>
      <c r="B916" s="903"/>
      <c r="C916" s="720"/>
      <c r="D916" s="720"/>
      <c r="E916" s="720"/>
      <c r="F916" s="720"/>
      <c r="G916" s="906"/>
      <c r="H916" s="720"/>
      <c r="I916" s="720"/>
      <c r="J916" s="720"/>
      <c r="K916" s="907"/>
      <c r="L916" s="720"/>
      <c r="M916" s="720"/>
      <c r="N916" s="720"/>
      <c r="O916" s="720"/>
      <c r="P916" s="720"/>
      <c r="Q916" s="720"/>
      <c r="R916" s="720"/>
      <c r="S916" s="720"/>
      <c r="T916" s="720"/>
      <c r="U916" s="720"/>
      <c r="V916" s="720"/>
      <c r="W916" s="720"/>
      <c r="X916" s="720"/>
      <c r="Y916" s="720"/>
      <c r="Z916" s="720"/>
      <c r="AA916" s="720"/>
      <c r="AB916" s="720"/>
    </row>
    <row r="917" spans="1:28" ht="12.75" customHeight="1">
      <c r="A917" s="902"/>
      <c r="B917" s="903"/>
      <c r="C917" s="720"/>
      <c r="D917" s="720"/>
      <c r="E917" s="720"/>
      <c r="F917" s="720"/>
      <c r="G917" s="906"/>
      <c r="H917" s="720"/>
      <c r="I917" s="720"/>
      <c r="J917" s="720"/>
      <c r="K917" s="907"/>
      <c r="L917" s="720"/>
      <c r="M917" s="720"/>
      <c r="N917" s="720"/>
      <c r="O917" s="720"/>
      <c r="P917" s="720"/>
      <c r="Q917" s="720"/>
      <c r="R917" s="720"/>
      <c r="S917" s="720"/>
      <c r="T917" s="720"/>
      <c r="U917" s="720"/>
      <c r="V917" s="720"/>
      <c r="W917" s="720"/>
      <c r="X917" s="720"/>
      <c r="Y917" s="720"/>
      <c r="Z917" s="720"/>
      <c r="AA917" s="720"/>
      <c r="AB917" s="720"/>
    </row>
    <row r="918" spans="1:28" ht="12.75" customHeight="1">
      <c r="A918" s="902"/>
      <c r="B918" s="903"/>
      <c r="C918" s="720"/>
      <c r="D918" s="720"/>
      <c r="E918" s="720"/>
      <c r="F918" s="720"/>
      <c r="G918" s="906"/>
      <c r="H918" s="720"/>
      <c r="I918" s="720"/>
      <c r="J918" s="720"/>
      <c r="K918" s="907"/>
      <c r="L918" s="720"/>
      <c r="M918" s="720"/>
      <c r="N918" s="720"/>
      <c r="O918" s="720"/>
      <c r="P918" s="720"/>
      <c r="Q918" s="720"/>
      <c r="R918" s="720"/>
      <c r="S918" s="720"/>
      <c r="T918" s="720"/>
      <c r="U918" s="720"/>
      <c r="V918" s="720"/>
      <c r="W918" s="720"/>
      <c r="X918" s="720"/>
      <c r="Y918" s="720"/>
      <c r="Z918" s="720"/>
      <c r="AA918" s="720"/>
      <c r="AB918" s="720"/>
    </row>
    <row r="919" spans="1:28" ht="12.75" customHeight="1">
      <c r="A919" s="902"/>
      <c r="B919" s="903"/>
      <c r="C919" s="720"/>
      <c r="D919" s="720"/>
      <c r="E919" s="720"/>
      <c r="F919" s="720"/>
      <c r="G919" s="906"/>
      <c r="H919" s="720"/>
      <c r="I919" s="720"/>
      <c r="J919" s="720"/>
      <c r="K919" s="907"/>
      <c r="L919" s="720"/>
      <c r="M919" s="720"/>
      <c r="N919" s="720"/>
      <c r="O919" s="720"/>
      <c r="P919" s="720"/>
      <c r="Q919" s="720"/>
      <c r="R919" s="720"/>
      <c r="S919" s="720"/>
      <c r="T919" s="720"/>
      <c r="U919" s="720"/>
      <c r="V919" s="720"/>
      <c r="W919" s="720"/>
      <c r="X919" s="720"/>
      <c r="Y919" s="720"/>
      <c r="Z919" s="720"/>
      <c r="AA919" s="720"/>
      <c r="AB919" s="720"/>
    </row>
    <row r="920" spans="1:28" ht="12.75" customHeight="1">
      <c r="A920" s="902"/>
      <c r="B920" s="903"/>
      <c r="C920" s="720"/>
      <c r="D920" s="720"/>
      <c r="E920" s="720"/>
      <c r="F920" s="720"/>
      <c r="G920" s="906"/>
      <c r="H920" s="720"/>
      <c r="I920" s="720"/>
      <c r="J920" s="720"/>
      <c r="K920" s="907"/>
      <c r="L920" s="720"/>
      <c r="M920" s="720"/>
      <c r="N920" s="720"/>
      <c r="O920" s="720"/>
      <c r="P920" s="720"/>
      <c r="Q920" s="720"/>
      <c r="R920" s="720"/>
      <c r="S920" s="720"/>
      <c r="T920" s="720"/>
      <c r="U920" s="720"/>
      <c r="V920" s="720"/>
      <c r="W920" s="720"/>
      <c r="X920" s="720"/>
      <c r="Y920" s="720"/>
      <c r="Z920" s="720"/>
      <c r="AA920" s="720"/>
      <c r="AB920" s="720"/>
    </row>
    <row r="921" spans="1:28" ht="12.75" customHeight="1">
      <c r="A921" s="902"/>
      <c r="B921" s="903"/>
      <c r="C921" s="720"/>
      <c r="D921" s="720"/>
      <c r="E921" s="720"/>
      <c r="F921" s="720"/>
      <c r="G921" s="906"/>
      <c r="H921" s="720"/>
      <c r="I921" s="720"/>
      <c r="J921" s="720"/>
      <c r="K921" s="907"/>
      <c r="L921" s="720"/>
      <c r="M921" s="720"/>
      <c r="N921" s="720"/>
      <c r="O921" s="720"/>
      <c r="P921" s="720"/>
      <c r="Q921" s="720"/>
      <c r="R921" s="720"/>
      <c r="S921" s="720"/>
      <c r="T921" s="720"/>
      <c r="U921" s="720"/>
      <c r="V921" s="720"/>
      <c r="W921" s="720"/>
      <c r="X921" s="720"/>
      <c r="Y921" s="720"/>
      <c r="Z921" s="720"/>
      <c r="AA921" s="720"/>
      <c r="AB921" s="720"/>
    </row>
    <row r="922" spans="1:28" ht="12.75" customHeight="1">
      <c r="A922" s="902"/>
      <c r="B922" s="903"/>
      <c r="C922" s="720"/>
      <c r="D922" s="720"/>
      <c r="E922" s="720"/>
      <c r="F922" s="720"/>
      <c r="G922" s="906"/>
      <c r="H922" s="720"/>
      <c r="I922" s="720"/>
      <c r="J922" s="720"/>
      <c r="K922" s="907"/>
      <c r="L922" s="720"/>
      <c r="M922" s="720"/>
      <c r="N922" s="720"/>
      <c r="O922" s="720"/>
      <c r="P922" s="720"/>
      <c r="Q922" s="720"/>
      <c r="R922" s="720"/>
      <c r="S922" s="720"/>
      <c r="T922" s="720"/>
      <c r="U922" s="720"/>
      <c r="V922" s="720"/>
      <c r="W922" s="720"/>
      <c r="X922" s="720"/>
      <c r="Y922" s="720"/>
      <c r="Z922" s="720"/>
      <c r="AA922" s="720"/>
      <c r="AB922" s="720"/>
    </row>
    <row r="923" spans="1:28" ht="12.75" customHeight="1">
      <c r="A923" s="902"/>
      <c r="B923" s="903"/>
      <c r="C923" s="720"/>
      <c r="D923" s="720"/>
      <c r="E923" s="720"/>
      <c r="F923" s="720"/>
      <c r="G923" s="906"/>
      <c r="H923" s="720"/>
      <c r="I923" s="720"/>
      <c r="J923" s="720"/>
      <c r="K923" s="907"/>
      <c r="L923" s="720"/>
      <c r="M923" s="720"/>
      <c r="N923" s="720"/>
      <c r="O923" s="720"/>
      <c r="P923" s="720"/>
      <c r="Q923" s="720"/>
      <c r="R923" s="720"/>
      <c r="S923" s="720"/>
      <c r="T923" s="720"/>
      <c r="U923" s="720"/>
      <c r="V923" s="720"/>
      <c r="W923" s="720"/>
      <c r="X923" s="720"/>
      <c r="Y923" s="720"/>
      <c r="Z923" s="720"/>
      <c r="AA923" s="720"/>
      <c r="AB923" s="720"/>
    </row>
    <row r="924" spans="1:28" ht="12.75" customHeight="1">
      <c r="A924" s="902"/>
      <c r="B924" s="903"/>
      <c r="C924" s="720"/>
      <c r="D924" s="720"/>
      <c r="E924" s="720"/>
      <c r="F924" s="720"/>
      <c r="G924" s="906"/>
      <c r="H924" s="720"/>
      <c r="I924" s="720"/>
      <c r="J924" s="720"/>
      <c r="K924" s="907"/>
      <c r="L924" s="720"/>
      <c r="M924" s="720"/>
      <c r="N924" s="720"/>
      <c r="O924" s="720"/>
      <c r="P924" s="720"/>
      <c r="Q924" s="720"/>
      <c r="R924" s="720"/>
      <c r="S924" s="720"/>
      <c r="T924" s="720"/>
      <c r="U924" s="720"/>
      <c r="V924" s="720"/>
      <c r="W924" s="720"/>
      <c r="X924" s="720"/>
      <c r="Y924" s="720"/>
      <c r="Z924" s="720"/>
      <c r="AA924" s="720"/>
      <c r="AB924" s="720"/>
    </row>
    <row r="925" spans="1:28" ht="12.75" customHeight="1">
      <c r="A925" s="902"/>
      <c r="B925" s="903"/>
      <c r="C925" s="720"/>
      <c r="D925" s="720"/>
      <c r="E925" s="720"/>
      <c r="F925" s="720"/>
      <c r="G925" s="906"/>
      <c r="H925" s="720"/>
      <c r="I925" s="720"/>
      <c r="J925" s="720"/>
      <c r="K925" s="907"/>
      <c r="L925" s="720"/>
      <c r="M925" s="720"/>
      <c r="N925" s="720"/>
      <c r="O925" s="720"/>
      <c r="P925" s="720"/>
      <c r="Q925" s="720"/>
      <c r="R925" s="720"/>
      <c r="S925" s="720"/>
      <c r="T925" s="720"/>
      <c r="U925" s="720"/>
      <c r="V925" s="720"/>
      <c r="W925" s="720"/>
      <c r="X925" s="720"/>
      <c r="Y925" s="720"/>
      <c r="Z925" s="720"/>
      <c r="AA925" s="720"/>
      <c r="AB925" s="720"/>
    </row>
    <row r="926" spans="1:28" ht="12.75" customHeight="1">
      <c r="A926" s="902"/>
      <c r="B926" s="903"/>
      <c r="C926" s="720"/>
      <c r="D926" s="720"/>
      <c r="E926" s="720"/>
      <c r="F926" s="720"/>
      <c r="G926" s="906"/>
      <c r="H926" s="720"/>
      <c r="I926" s="720"/>
      <c r="J926" s="720"/>
      <c r="K926" s="907"/>
      <c r="L926" s="720"/>
      <c r="M926" s="720"/>
      <c r="N926" s="720"/>
      <c r="O926" s="720"/>
      <c r="P926" s="720"/>
      <c r="Q926" s="720"/>
      <c r="R926" s="720"/>
      <c r="S926" s="720"/>
      <c r="T926" s="720"/>
      <c r="U926" s="720"/>
      <c r="V926" s="720"/>
      <c r="W926" s="720"/>
      <c r="X926" s="720"/>
      <c r="Y926" s="720"/>
      <c r="Z926" s="720"/>
      <c r="AA926" s="720"/>
      <c r="AB926" s="720"/>
    </row>
    <row r="927" spans="1:28" ht="12.75" customHeight="1">
      <c r="A927" s="902"/>
      <c r="B927" s="903"/>
      <c r="C927" s="720"/>
      <c r="D927" s="720"/>
      <c r="E927" s="720"/>
      <c r="F927" s="720"/>
      <c r="G927" s="906"/>
      <c r="H927" s="720"/>
      <c r="I927" s="720"/>
      <c r="J927" s="720"/>
      <c r="K927" s="907"/>
      <c r="L927" s="720"/>
      <c r="M927" s="720"/>
      <c r="N927" s="720"/>
      <c r="O927" s="720"/>
      <c r="P927" s="720"/>
      <c r="Q927" s="720"/>
      <c r="R927" s="720"/>
      <c r="S927" s="720"/>
      <c r="T927" s="720"/>
      <c r="U927" s="720"/>
      <c r="V927" s="720"/>
      <c r="W927" s="720"/>
      <c r="X927" s="720"/>
      <c r="Y927" s="720"/>
      <c r="Z927" s="720"/>
      <c r="AA927" s="720"/>
      <c r="AB927" s="720"/>
    </row>
    <row r="928" spans="1:28" ht="12.75" customHeight="1">
      <c r="A928" s="902"/>
      <c r="B928" s="903"/>
      <c r="C928" s="720"/>
      <c r="D928" s="720"/>
      <c r="E928" s="720"/>
      <c r="F928" s="720"/>
      <c r="G928" s="906"/>
      <c r="H928" s="720"/>
      <c r="I928" s="720"/>
      <c r="J928" s="720"/>
      <c r="K928" s="907"/>
      <c r="L928" s="720"/>
      <c r="M928" s="720"/>
      <c r="N928" s="720"/>
      <c r="O928" s="720"/>
      <c r="P928" s="720"/>
      <c r="Q928" s="720"/>
      <c r="R928" s="720"/>
      <c r="S928" s="720"/>
      <c r="T928" s="720"/>
      <c r="U928" s="720"/>
      <c r="V928" s="720"/>
      <c r="W928" s="720"/>
      <c r="X928" s="720"/>
      <c r="Y928" s="720"/>
      <c r="Z928" s="720"/>
      <c r="AA928" s="720"/>
      <c r="AB928" s="720"/>
    </row>
    <row r="929" spans="1:28" ht="12.75" customHeight="1">
      <c r="A929" s="902"/>
      <c r="B929" s="903"/>
      <c r="C929" s="720"/>
      <c r="D929" s="720"/>
      <c r="E929" s="720"/>
      <c r="F929" s="720"/>
      <c r="G929" s="906"/>
      <c r="H929" s="720"/>
      <c r="I929" s="720"/>
      <c r="J929" s="720"/>
      <c r="K929" s="907"/>
      <c r="L929" s="720"/>
      <c r="M929" s="720"/>
      <c r="N929" s="720"/>
      <c r="O929" s="720"/>
      <c r="P929" s="720"/>
      <c r="Q929" s="720"/>
      <c r="R929" s="720"/>
      <c r="S929" s="720"/>
      <c r="T929" s="720"/>
      <c r="U929" s="720"/>
      <c r="V929" s="720"/>
      <c r="W929" s="720"/>
      <c r="X929" s="720"/>
      <c r="Y929" s="720"/>
      <c r="Z929" s="720"/>
      <c r="AA929" s="720"/>
      <c r="AB929" s="720"/>
    </row>
    <row r="930" spans="1:28" ht="12.75" customHeight="1">
      <c r="A930" s="902"/>
      <c r="B930" s="903"/>
      <c r="C930" s="720"/>
      <c r="D930" s="720"/>
      <c r="E930" s="720"/>
      <c r="F930" s="720"/>
      <c r="G930" s="906"/>
      <c r="H930" s="720"/>
      <c r="I930" s="720"/>
      <c r="J930" s="720"/>
      <c r="K930" s="907"/>
      <c r="L930" s="720"/>
      <c r="M930" s="720"/>
      <c r="N930" s="720"/>
      <c r="O930" s="720"/>
      <c r="P930" s="720"/>
      <c r="Q930" s="720"/>
      <c r="R930" s="720"/>
      <c r="S930" s="720"/>
      <c r="T930" s="720"/>
      <c r="U930" s="720"/>
      <c r="V930" s="720"/>
      <c r="W930" s="720"/>
      <c r="X930" s="720"/>
      <c r="Y930" s="720"/>
      <c r="Z930" s="720"/>
      <c r="AA930" s="720"/>
      <c r="AB930" s="720"/>
    </row>
    <row r="931" spans="1:28" ht="12.75" customHeight="1">
      <c r="A931" s="902"/>
      <c r="B931" s="903"/>
      <c r="C931" s="720"/>
      <c r="D931" s="720"/>
      <c r="E931" s="720"/>
      <c r="F931" s="720"/>
      <c r="G931" s="906"/>
      <c r="H931" s="720"/>
      <c r="I931" s="720"/>
      <c r="J931" s="720"/>
      <c r="K931" s="907"/>
      <c r="L931" s="720"/>
      <c r="M931" s="720"/>
      <c r="N931" s="720"/>
      <c r="O931" s="720"/>
      <c r="P931" s="720"/>
      <c r="Q931" s="720"/>
      <c r="R931" s="720"/>
      <c r="S931" s="720"/>
      <c r="T931" s="720"/>
      <c r="U931" s="720"/>
      <c r="V931" s="720"/>
      <c r="W931" s="720"/>
      <c r="X931" s="720"/>
      <c r="Y931" s="720"/>
      <c r="Z931" s="720"/>
      <c r="AA931" s="720"/>
      <c r="AB931" s="720"/>
    </row>
    <row r="932" spans="1:28" ht="12.75" customHeight="1">
      <c r="A932" s="902"/>
      <c r="B932" s="903"/>
      <c r="C932" s="720"/>
      <c r="D932" s="720"/>
      <c r="E932" s="720"/>
      <c r="F932" s="720"/>
      <c r="G932" s="906"/>
      <c r="H932" s="720"/>
      <c r="I932" s="720"/>
      <c r="J932" s="720"/>
      <c r="K932" s="907"/>
      <c r="L932" s="720"/>
      <c r="M932" s="720"/>
      <c r="N932" s="720"/>
      <c r="O932" s="720"/>
      <c r="P932" s="720"/>
      <c r="Q932" s="720"/>
      <c r="R932" s="720"/>
      <c r="S932" s="720"/>
      <c r="T932" s="720"/>
      <c r="U932" s="720"/>
      <c r="V932" s="720"/>
      <c r="W932" s="720"/>
      <c r="X932" s="720"/>
      <c r="Y932" s="720"/>
      <c r="Z932" s="720"/>
      <c r="AA932" s="720"/>
      <c r="AB932" s="720"/>
    </row>
    <row r="933" spans="1:28" ht="12.75" customHeight="1">
      <c r="A933" s="902"/>
      <c r="B933" s="903"/>
      <c r="C933" s="720"/>
      <c r="D933" s="720"/>
      <c r="E933" s="720"/>
      <c r="F933" s="720"/>
      <c r="G933" s="906"/>
      <c r="H933" s="720"/>
      <c r="I933" s="720"/>
      <c r="J933" s="720"/>
      <c r="K933" s="907"/>
      <c r="L933" s="720"/>
      <c r="M933" s="720"/>
      <c r="N933" s="720"/>
      <c r="O933" s="720"/>
      <c r="P933" s="720"/>
      <c r="Q933" s="720"/>
      <c r="R933" s="720"/>
      <c r="S933" s="720"/>
      <c r="T933" s="720"/>
      <c r="U933" s="720"/>
      <c r="V933" s="720"/>
      <c r="W933" s="720"/>
      <c r="X933" s="720"/>
      <c r="Y933" s="720"/>
      <c r="Z933" s="720"/>
      <c r="AA933" s="720"/>
      <c r="AB933" s="720"/>
    </row>
    <row r="934" spans="1:28" ht="12.75" customHeight="1">
      <c r="A934" s="902"/>
      <c r="B934" s="903"/>
      <c r="C934" s="720"/>
      <c r="D934" s="720"/>
      <c r="E934" s="720"/>
      <c r="F934" s="720"/>
      <c r="G934" s="906"/>
      <c r="H934" s="720"/>
      <c r="I934" s="720"/>
      <c r="J934" s="720"/>
      <c r="K934" s="907"/>
      <c r="L934" s="720"/>
      <c r="M934" s="720"/>
      <c r="N934" s="720"/>
      <c r="O934" s="720"/>
      <c r="P934" s="720"/>
      <c r="Q934" s="720"/>
      <c r="R934" s="720"/>
      <c r="S934" s="720"/>
      <c r="T934" s="720"/>
      <c r="U934" s="720"/>
      <c r="V934" s="720"/>
      <c r="W934" s="720"/>
      <c r="X934" s="720"/>
      <c r="Y934" s="720"/>
      <c r="Z934" s="720"/>
      <c r="AA934" s="720"/>
      <c r="AB934" s="720"/>
    </row>
    <row r="935" spans="1:28" ht="12.75" customHeight="1">
      <c r="A935" s="902"/>
      <c r="B935" s="903"/>
      <c r="C935" s="720"/>
      <c r="D935" s="720"/>
      <c r="E935" s="720"/>
      <c r="F935" s="720"/>
      <c r="G935" s="906"/>
      <c r="H935" s="720"/>
      <c r="I935" s="720"/>
      <c r="J935" s="720"/>
      <c r="K935" s="907"/>
      <c r="L935" s="720"/>
      <c r="M935" s="720"/>
      <c r="N935" s="720"/>
      <c r="O935" s="720"/>
      <c r="P935" s="720"/>
      <c r="Q935" s="720"/>
      <c r="R935" s="720"/>
      <c r="S935" s="720"/>
      <c r="T935" s="720"/>
      <c r="U935" s="720"/>
      <c r="V935" s="720"/>
      <c r="W935" s="720"/>
      <c r="X935" s="720"/>
      <c r="Y935" s="720"/>
      <c r="Z935" s="720"/>
      <c r="AA935" s="720"/>
      <c r="AB935" s="720"/>
    </row>
    <row r="936" spans="1:28" ht="12.75" customHeight="1">
      <c r="A936" s="902"/>
      <c r="B936" s="903"/>
      <c r="C936" s="720"/>
      <c r="D936" s="720"/>
      <c r="E936" s="720"/>
      <c r="F936" s="720"/>
      <c r="G936" s="906"/>
      <c r="H936" s="720"/>
      <c r="I936" s="720"/>
      <c r="J936" s="720"/>
      <c r="K936" s="907"/>
      <c r="L936" s="720"/>
      <c r="M936" s="720"/>
      <c r="N936" s="720"/>
      <c r="O936" s="720"/>
      <c r="P936" s="720"/>
      <c r="Q936" s="720"/>
      <c r="R936" s="720"/>
      <c r="S936" s="720"/>
      <c r="T936" s="720"/>
      <c r="U936" s="720"/>
      <c r="V936" s="720"/>
      <c r="W936" s="720"/>
      <c r="X936" s="720"/>
      <c r="Y936" s="720"/>
      <c r="Z936" s="720"/>
      <c r="AA936" s="720"/>
      <c r="AB936" s="720"/>
    </row>
    <row r="937" spans="1:28" ht="12.75" customHeight="1">
      <c r="A937" s="902"/>
      <c r="B937" s="903"/>
      <c r="C937" s="720"/>
      <c r="D937" s="720"/>
      <c r="E937" s="720"/>
      <c r="F937" s="720"/>
      <c r="G937" s="906"/>
      <c r="H937" s="720"/>
      <c r="I937" s="720"/>
      <c r="J937" s="720"/>
      <c r="K937" s="907"/>
      <c r="L937" s="720"/>
      <c r="M937" s="720"/>
      <c r="N937" s="720"/>
      <c r="O937" s="720"/>
      <c r="P937" s="720"/>
      <c r="Q937" s="720"/>
      <c r="R937" s="720"/>
      <c r="S937" s="720"/>
      <c r="T937" s="720"/>
      <c r="U937" s="720"/>
      <c r="V937" s="720"/>
      <c r="W937" s="720"/>
      <c r="X937" s="720"/>
      <c r="Y937" s="720"/>
      <c r="Z937" s="720"/>
      <c r="AA937" s="720"/>
      <c r="AB937" s="720"/>
    </row>
    <row r="938" spans="1:28" ht="12.75" customHeight="1">
      <c r="A938" s="902"/>
      <c r="B938" s="903"/>
      <c r="C938" s="720"/>
      <c r="D938" s="720"/>
      <c r="E938" s="720"/>
      <c r="F938" s="720"/>
      <c r="G938" s="906"/>
      <c r="H938" s="720"/>
      <c r="I938" s="720"/>
      <c r="J938" s="720"/>
      <c r="K938" s="907"/>
      <c r="L938" s="720"/>
      <c r="M938" s="720"/>
      <c r="N938" s="720"/>
      <c r="O938" s="720"/>
      <c r="P938" s="720"/>
      <c r="Q938" s="720"/>
      <c r="R938" s="720"/>
      <c r="S938" s="720"/>
      <c r="T938" s="720"/>
      <c r="U938" s="720"/>
      <c r="V938" s="720"/>
      <c r="W938" s="720"/>
      <c r="X938" s="720"/>
      <c r="Y938" s="720"/>
      <c r="Z938" s="720"/>
      <c r="AA938" s="720"/>
      <c r="AB938" s="720"/>
    </row>
    <row r="939" spans="1:28" ht="12.75" customHeight="1">
      <c r="A939" s="902"/>
      <c r="B939" s="903"/>
      <c r="C939" s="720"/>
      <c r="D939" s="720"/>
      <c r="E939" s="720"/>
      <c r="F939" s="720"/>
      <c r="G939" s="906"/>
      <c r="H939" s="720"/>
      <c r="I939" s="720"/>
      <c r="J939" s="720"/>
      <c r="K939" s="907"/>
      <c r="L939" s="720"/>
      <c r="M939" s="720"/>
      <c r="N939" s="720"/>
      <c r="O939" s="720"/>
      <c r="P939" s="720"/>
      <c r="Q939" s="720"/>
      <c r="R939" s="720"/>
      <c r="S939" s="720"/>
      <c r="T939" s="720"/>
      <c r="U939" s="720"/>
      <c r="V939" s="720"/>
      <c r="W939" s="720"/>
      <c r="X939" s="720"/>
      <c r="Y939" s="720"/>
      <c r="Z939" s="720"/>
      <c r="AA939" s="720"/>
      <c r="AB939" s="720"/>
    </row>
    <row r="940" spans="1:28" ht="12.75" customHeight="1">
      <c r="A940" s="902"/>
      <c r="B940" s="903"/>
      <c r="C940" s="720"/>
      <c r="D940" s="720"/>
      <c r="E940" s="720"/>
      <c r="F940" s="720"/>
      <c r="G940" s="906"/>
      <c r="H940" s="720"/>
      <c r="I940" s="720"/>
      <c r="J940" s="720"/>
      <c r="K940" s="907"/>
      <c r="L940" s="720"/>
      <c r="M940" s="720"/>
      <c r="N940" s="720"/>
      <c r="O940" s="720"/>
      <c r="P940" s="720"/>
      <c r="Q940" s="720"/>
      <c r="R940" s="720"/>
      <c r="S940" s="720"/>
      <c r="T940" s="720"/>
      <c r="U940" s="720"/>
      <c r="V940" s="720"/>
      <c r="W940" s="720"/>
      <c r="X940" s="720"/>
      <c r="Y940" s="720"/>
      <c r="Z940" s="720"/>
      <c r="AA940" s="720"/>
      <c r="AB940" s="720"/>
    </row>
    <row r="941" spans="1:28" ht="12.75" customHeight="1">
      <c r="A941" s="902"/>
      <c r="B941" s="903"/>
      <c r="C941" s="720"/>
      <c r="D941" s="720"/>
      <c r="E941" s="720"/>
      <c r="F941" s="720"/>
      <c r="G941" s="906"/>
      <c r="H941" s="720"/>
      <c r="I941" s="720"/>
      <c r="J941" s="720"/>
      <c r="K941" s="907"/>
      <c r="L941" s="720"/>
      <c r="M941" s="720"/>
      <c r="N941" s="720"/>
      <c r="O941" s="720"/>
      <c r="P941" s="720"/>
      <c r="Q941" s="720"/>
      <c r="R941" s="720"/>
      <c r="S941" s="720"/>
      <c r="T941" s="720"/>
      <c r="U941" s="720"/>
      <c r="V941" s="720"/>
      <c r="W941" s="720"/>
      <c r="X941" s="720"/>
      <c r="Y941" s="720"/>
      <c r="Z941" s="720"/>
      <c r="AA941" s="720"/>
      <c r="AB941" s="720"/>
    </row>
    <row r="942" spans="1:28" ht="12.75" customHeight="1">
      <c r="A942" s="902"/>
      <c r="B942" s="903"/>
      <c r="C942" s="720"/>
      <c r="D942" s="720"/>
      <c r="E942" s="720"/>
      <c r="F942" s="720"/>
      <c r="G942" s="906"/>
      <c r="H942" s="720"/>
      <c r="I942" s="720"/>
      <c r="J942" s="720"/>
      <c r="K942" s="907"/>
      <c r="L942" s="720"/>
      <c r="M942" s="720"/>
      <c r="N942" s="720"/>
      <c r="O942" s="720"/>
      <c r="P942" s="720"/>
      <c r="Q942" s="720"/>
      <c r="R942" s="720"/>
      <c r="S942" s="720"/>
      <c r="T942" s="720"/>
      <c r="U942" s="720"/>
      <c r="V942" s="720"/>
      <c r="W942" s="720"/>
      <c r="X942" s="720"/>
      <c r="Y942" s="720"/>
      <c r="Z942" s="720"/>
      <c r="AA942" s="720"/>
      <c r="AB942" s="720"/>
    </row>
    <row r="943" spans="1:28" ht="12.75" customHeight="1">
      <c r="A943" s="902"/>
      <c r="B943" s="903"/>
      <c r="C943" s="720"/>
      <c r="D943" s="720"/>
      <c r="E943" s="720"/>
      <c r="F943" s="720"/>
      <c r="G943" s="906"/>
      <c r="H943" s="720"/>
      <c r="I943" s="720"/>
      <c r="J943" s="720"/>
      <c r="K943" s="907"/>
      <c r="L943" s="720"/>
      <c r="M943" s="720"/>
      <c r="N943" s="720"/>
      <c r="O943" s="720"/>
      <c r="P943" s="720"/>
      <c r="Q943" s="720"/>
      <c r="R943" s="720"/>
      <c r="S943" s="720"/>
      <c r="T943" s="720"/>
      <c r="U943" s="720"/>
      <c r="V943" s="720"/>
      <c r="W943" s="720"/>
      <c r="X943" s="720"/>
      <c r="Y943" s="720"/>
      <c r="Z943" s="720"/>
      <c r="AA943" s="720"/>
      <c r="AB943" s="720"/>
    </row>
    <row r="944" spans="1:28" ht="12.75" customHeight="1">
      <c r="A944" s="902"/>
      <c r="B944" s="903"/>
      <c r="C944" s="720"/>
      <c r="D944" s="720"/>
      <c r="E944" s="720"/>
      <c r="F944" s="720"/>
      <c r="G944" s="906"/>
      <c r="H944" s="720"/>
      <c r="I944" s="720"/>
      <c r="J944" s="720"/>
      <c r="K944" s="907"/>
      <c r="L944" s="720"/>
      <c r="M944" s="720"/>
      <c r="N944" s="720"/>
      <c r="O944" s="720"/>
      <c r="P944" s="720"/>
      <c r="Q944" s="720"/>
      <c r="R944" s="720"/>
      <c r="S944" s="720"/>
      <c r="T944" s="720"/>
      <c r="U944" s="720"/>
      <c r="V944" s="720"/>
      <c r="W944" s="720"/>
      <c r="X944" s="720"/>
      <c r="Y944" s="720"/>
      <c r="Z944" s="720"/>
      <c r="AA944" s="720"/>
      <c r="AB944" s="720"/>
    </row>
    <row r="945" spans="1:28" ht="12.75" customHeight="1">
      <c r="A945" s="902"/>
      <c r="B945" s="903"/>
      <c r="C945" s="720"/>
      <c r="D945" s="720"/>
      <c r="E945" s="720"/>
      <c r="F945" s="720"/>
      <c r="G945" s="906"/>
      <c r="H945" s="720"/>
      <c r="I945" s="720"/>
      <c r="J945" s="720"/>
      <c r="K945" s="907"/>
      <c r="L945" s="720"/>
      <c r="M945" s="720"/>
      <c r="N945" s="720"/>
      <c r="O945" s="720"/>
      <c r="P945" s="720"/>
      <c r="Q945" s="720"/>
      <c r="R945" s="720"/>
      <c r="S945" s="720"/>
      <c r="T945" s="720"/>
      <c r="U945" s="720"/>
      <c r="V945" s="720"/>
      <c r="W945" s="720"/>
      <c r="X945" s="720"/>
      <c r="Y945" s="720"/>
      <c r="Z945" s="720"/>
      <c r="AA945" s="720"/>
      <c r="AB945" s="720"/>
    </row>
    <row r="946" spans="1:28" ht="12.75" customHeight="1">
      <c r="A946" s="902"/>
      <c r="B946" s="903"/>
      <c r="C946" s="720"/>
      <c r="D946" s="720"/>
      <c r="E946" s="720"/>
      <c r="F946" s="720"/>
      <c r="G946" s="906"/>
      <c r="H946" s="720"/>
      <c r="I946" s="720"/>
      <c r="J946" s="720"/>
      <c r="K946" s="907"/>
      <c r="L946" s="720"/>
      <c r="M946" s="720"/>
      <c r="N946" s="720"/>
      <c r="O946" s="720"/>
      <c r="P946" s="720"/>
      <c r="Q946" s="720"/>
      <c r="R946" s="720"/>
      <c r="S946" s="720"/>
      <c r="T946" s="720"/>
      <c r="U946" s="720"/>
      <c r="V946" s="720"/>
      <c r="W946" s="720"/>
      <c r="X946" s="720"/>
      <c r="Y946" s="720"/>
      <c r="Z946" s="720"/>
      <c r="AA946" s="720"/>
      <c r="AB946" s="720"/>
    </row>
    <row r="947" spans="1:28" ht="12.75" customHeight="1">
      <c r="A947" s="902"/>
      <c r="B947" s="903"/>
      <c r="C947" s="720"/>
      <c r="D947" s="720"/>
      <c r="E947" s="720"/>
      <c r="F947" s="720"/>
      <c r="G947" s="906"/>
      <c r="H947" s="720"/>
      <c r="I947" s="720"/>
      <c r="J947" s="720"/>
      <c r="K947" s="907"/>
      <c r="L947" s="720"/>
      <c r="M947" s="720"/>
      <c r="N947" s="720"/>
      <c r="O947" s="720"/>
      <c r="P947" s="720"/>
      <c r="Q947" s="720"/>
      <c r="R947" s="720"/>
      <c r="S947" s="720"/>
      <c r="T947" s="720"/>
      <c r="U947" s="720"/>
      <c r="V947" s="720"/>
      <c r="W947" s="720"/>
      <c r="X947" s="720"/>
      <c r="Y947" s="720"/>
      <c r="Z947" s="720"/>
      <c r="AA947" s="720"/>
      <c r="AB947" s="720"/>
    </row>
    <row r="948" spans="1:28" ht="12.75" customHeight="1">
      <c r="A948" s="902"/>
      <c r="B948" s="903"/>
      <c r="C948" s="720"/>
      <c r="D948" s="720"/>
      <c r="E948" s="720"/>
      <c r="F948" s="720"/>
      <c r="G948" s="906"/>
      <c r="H948" s="720"/>
      <c r="I948" s="720"/>
      <c r="J948" s="720"/>
      <c r="K948" s="907"/>
      <c r="L948" s="720"/>
      <c r="M948" s="720"/>
      <c r="N948" s="720"/>
      <c r="O948" s="720"/>
      <c r="P948" s="720"/>
      <c r="Q948" s="720"/>
      <c r="R948" s="720"/>
      <c r="S948" s="720"/>
      <c r="T948" s="720"/>
      <c r="U948" s="720"/>
      <c r="V948" s="720"/>
      <c r="W948" s="720"/>
      <c r="X948" s="720"/>
      <c r="Y948" s="720"/>
      <c r="Z948" s="720"/>
      <c r="AA948" s="720"/>
      <c r="AB948" s="720"/>
    </row>
    <row r="949" spans="1:28" ht="12.75" customHeight="1">
      <c r="A949" s="902"/>
      <c r="B949" s="903"/>
      <c r="C949" s="720"/>
      <c r="D949" s="720"/>
      <c r="E949" s="720"/>
      <c r="F949" s="720"/>
      <c r="G949" s="906"/>
      <c r="H949" s="720"/>
      <c r="I949" s="720"/>
      <c r="J949" s="720"/>
      <c r="K949" s="907"/>
      <c r="L949" s="720"/>
      <c r="M949" s="720"/>
      <c r="N949" s="720"/>
      <c r="O949" s="720"/>
      <c r="P949" s="720"/>
      <c r="Q949" s="720"/>
      <c r="R949" s="720"/>
      <c r="S949" s="720"/>
      <c r="T949" s="720"/>
      <c r="U949" s="720"/>
      <c r="V949" s="720"/>
      <c r="W949" s="720"/>
      <c r="X949" s="720"/>
      <c r="Y949" s="720"/>
      <c r="Z949" s="720"/>
      <c r="AA949" s="720"/>
      <c r="AB949" s="720"/>
    </row>
    <row r="950" spans="1:28" ht="12.75" customHeight="1">
      <c r="A950" s="902"/>
      <c r="B950" s="903"/>
      <c r="C950" s="720"/>
      <c r="D950" s="720"/>
      <c r="E950" s="720"/>
      <c r="F950" s="720"/>
      <c r="G950" s="906"/>
      <c r="H950" s="720"/>
      <c r="I950" s="720"/>
      <c r="J950" s="720"/>
      <c r="K950" s="907"/>
      <c r="L950" s="720"/>
      <c r="M950" s="720"/>
      <c r="N950" s="720"/>
      <c r="O950" s="720"/>
      <c r="P950" s="720"/>
      <c r="Q950" s="720"/>
      <c r="R950" s="720"/>
      <c r="S950" s="720"/>
      <c r="T950" s="720"/>
      <c r="U950" s="720"/>
      <c r="V950" s="720"/>
      <c r="W950" s="720"/>
      <c r="X950" s="720"/>
      <c r="Y950" s="720"/>
      <c r="Z950" s="720"/>
      <c r="AA950" s="720"/>
      <c r="AB950" s="720"/>
    </row>
    <row r="951" spans="1:28" ht="12.75" customHeight="1">
      <c r="A951" s="902"/>
      <c r="B951" s="903"/>
      <c r="C951" s="720"/>
      <c r="D951" s="720"/>
      <c r="E951" s="720"/>
      <c r="F951" s="720"/>
      <c r="G951" s="906"/>
      <c r="H951" s="720"/>
      <c r="I951" s="720"/>
      <c r="J951" s="720"/>
      <c r="K951" s="907"/>
      <c r="L951" s="720"/>
      <c r="M951" s="720"/>
      <c r="N951" s="720"/>
      <c r="O951" s="720"/>
      <c r="P951" s="720"/>
      <c r="Q951" s="720"/>
      <c r="R951" s="720"/>
      <c r="S951" s="720"/>
      <c r="T951" s="720"/>
      <c r="U951" s="720"/>
      <c r="V951" s="720"/>
      <c r="W951" s="720"/>
      <c r="X951" s="720"/>
      <c r="Y951" s="720"/>
      <c r="Z951" s="720"/>
      <c r="AA951" s="720"/>
      <c r="AB951" s="720"/>
    </row>
    <row r="952" spans="1:28" ht="12.75" customHeight="1">
      <c r="A952" s="902"/>
      <c r="B952" s="903"/>
      <c r="C952" s="720"/>
      <c r="D952" s="720"/>
      <c r="E952" s="720"/>
      <c r="F952" s="720"/>
      <c r="G952" s="906"/>
      <c r="H952" s="720"/>
      <c r="I952" s="720"/>
      <c r="J952" s="720"/>
      <c r="K952" s="907"/>
      <c r="L952" s="720"/>
      <c r="M952" s="720"/>
      <c r="N952" s="720"/>
      <c r="O952" s="720"/>
      <c r="P952" s="720"/>
      <c r="Q952" s="720"/>
      <c r="R952" s="720"/>
      <c r="S952" s="720"/>
      <c r="T952" s="720"/>
      <c r="U952" s="720"/>
      <c r="V952" s="720"/>
      <c r="W952" s="720"/>
      <c r="X952" s="720"/>
      <c r="Y952" s="720"/>
      <c r="Z952" s="720"/>
      <c r="AA952" s="720"/>
      <c r="AB952" s="720"/>
    </row>
    <row r="953" spans="1:28" ht="12.75" customHeight="1">
      <c r="A953" s="902"/>
      <c r="B953" s="903"/>
      <c r="C953" s="720"/>
      <c r="D953" s="720"/>
      <c r="E953" s="720"/>
      <c r="F953" s="720"/>
      <c r="G953" s="906"/>
      <c r="H953" s="720"/>
      <c r="I953" s="720"/>
      <c r="J953" s="720"/>
      <c r="K953" s="907"/>
      <c r="L953" s="720"/>
      <c r="M953" s="720"/>
      <c r="N953" s="720"/>
      <c r="O953" s="720"/>
      <c r="P953" s="720"/>
      <c r="Q953" s="720"/>
      <c r="R953" s="720"/>
      <c r="S953" s="720"/>
      <c r="T953" s="720"/>
      <c r="U953" s="720"/>
      <c r="V953" s="720"/>
      <c r="W953" s="720"/>
      <c r="X953" s="720"/>
      <c r="Y953" s="720"/>
      <c r="Z953" s="720"/>
      <c r="AA953" s="720"/>
      <c r="AB953" s="720"/>
    </row>
    <row r="954" spans="1:28" ht="12.75" customHeight="1">
      <c r="A954" s="902"/>
      <c r="B954" s="903"/>
      <c r="C954" s="720"/>
      <c r="D954" s="720"/>
      <c r="E954" s="720"/>
      <c r="F954" s="720"/>
      <c r="G954" s="906"/>
      <c r="H954" s="720"/>
      <c r="I954" s="720"/>
      <c r="J954" s="720"/>
      <c r="K954" s="907"/>
      <c r="L954" s="720"/>
      <c r="M954" s="720"/>
      <c r="N954" s="720"/>
      <c r="O954" s="720"/>
      <c r="P954" s="720"/>
      <c r="Q954" s="720"/>
      <c r="R954" s="720"/>
      <c r="S954" s="720"/>
      <c r="T954" s="720"/>
      <c r="U954" s="720"/>
      <c r="V954" s="720"/>
      <c r="W954" s="720"/>
      <c r="X954" s="720"/>
      <c r="Y954" s="720"/>
      <c r="Z954" s="720"/>
      <c r="AA954" s="720"/>
      <c r="AB954" s="720"/>
    </row>
    <row r="955" spans="1:28" ht="12.75" customHeight="1">
      <c r="A955" s="902"/>
      <c r="B955" s="903"/>
      <c r="C955" s="720"/>
      <c r="D955" s="720"/>
      <c r="E955" s="720"/>
      <c r="F955" s="720"/>
      <c r="G955" s="906"/>
      <c r="H955" s="720"/>
      <c r="I955" s="720"/>
      <c r="J955" s="720"/>
      <c r="K955" s="907"/>
      <c r="L955" s="720"/>
      <c r="M955" s="720"/>
      <c r="N955" s="720"/>
      <c r="O955" s="720"/>
      <c r="P955" s="720"/>
      <c r="Q955" s="720"/>
      <c r="R955" s="720"/>
      <c r="S955" s="720"/>
      <c r="T955" s="720"/>
      <c r="U955" s="720"/>
      <c r="V955" s="720"/>
      <c r="W955" s="720"/>
      <c r="X955" s="720"/>
      <c r="Y955" s="720"/>
      <c r="Z955" s="720"/>
      <c r="AA955" s="720"/>
      <c r="AB955" s="720"/>
    </row>
    <row r="956" spans="1:28" ht="12.75" customHeight="1">
      <c r="A956" s="902"/>
      <c r="B956" s="903"/>
      <c r="C956" s="720"/>
      <c r="D956" s="720"/>
      <c r="E956" s="720"/>
      <c r="F956" s="720"/>
      <c r="G956" s="906"/>
      <c r="H956" s="720"/>
      <c r="I956" s="720"/>
      <c r="J956" s="720"/>
      <c r="K956" s="907"/>
      <c r="L956" s="720"/>
      <c r="M956" s="720"/>
      <c r="N956" s="720"/>
      <c r="O956" s="720"/>
      <c r="P956" s="720"/>
      <c r="Q956" s="720"/>
      <c r="R956" s="720"/>
      <c r="S956" s="720"/>
      <c r="T956" s="720"/>
      <c r="U956" s="720"/>
      <c r="V956" s="720"/>
      <c r="W956" s="720"/>
      <c r="X956" s="720"/>
      <c r="Y956" s="720"/>
      <c r="Z956" s="720"/>
      <c r="AA956" s="720"/>
      <c r="AB956" s="720"/>
    </row>
    <row r="957" spans="1:28" ht="12.75" customHeight="1">
      <c r="A957" s="902"/>
      <c r="B957" s="903"/>
      <c r="C957" s="720"/>
      <c r="D957" s="720"/>
      <c r="E957" s="720"/>
      <c r="F957" s="720"/>
      <c r="G957" s="906"/>
      <c r="H957" s="720"/>
      <c r="I957" s="720"/>
      <c r="J957" s="720"/>
      <c r="K957" s="907"/>
      <c r="L957" s="720"/>
      <c r="M957" s="720"/>
      <c r="N957" s="720"/>
      <c r="O957" s="720"/>
      <c r="P957" s="720"/>
      <c r="Q957" s="720"/>
      <c r="R957" s="720"/>
      <c r="S957" s="720"/>
      <c r="T957" s="720"/>
      <c r="U957" s="720"/>
      <c r="V957" s="720"/>
      <c r="W957" s="720"/>
      <c r="X957" s="720"/>
      <c r="Y957" s="720"/>
      <c r="Z957" s="720"/>
      <c r="AA957" s="720"/>
      <c r="AB957" s="720"/>
    </row>
    <row r="958" spans="1:28" ht="12.75" customHeight="1">
      <c r="A958" s="902"/>
      <c r="B958" s="903"/>
      <c r="C958" s="720"/>
      <c r="D958" s="720"/>
      <c r="E958" s="720"/>
      <c r="F958" s="720"/>
      <c r="G958" s="906"/>
      <c r="H958" s="720"/>
      <c r="I958" s="720"/>
      <c r="J958" s="720"/>
      <c r="K958" s="907"/>
      <c r="L958" s="720"/>
      <c r="M958" s="720"/>
      <c r="N958" s="720"/>
      <c r="O958" s="720"/>
      <c r="P958" s="720"/>
      <c r="Q958" s="720"/>
      <c r="R958" s="720"/>
      <c r="S958" s="720"/>
      <c r="T958" s="720"/>
      <c r="U958" s="720"/>
      <c r="V958" s="720"/>
      <c r="W958" s="720"/>
      <c r="X958" s="720"/>
      <c r="Y958" s="720"/>
      <c r="Z958" s="720"/>
      <c r="AA958" s="720"/>
      <c r="AB958" s="720"/>
    </row>
    <row r="959" spans="1:28" ht="12.75" customHeight="1">
      <c r="A959" s="902"/>
      <c r="B959" s="903"/>
      <c r="C959" s="720"/>
      <c r="D959" s="720"/>
      <c r="E959" s="720"/>
      <c r="F959" s="720"/>
      <c r="G959" s="906"/>
      <c r="H959" s="720"/>
      <c r="I959" s="720"/>
      <c r="J959" s="720"/>
      <c r="K959" s="907"/>
      <c r="L959" s="720"/>
      <c r="M959" s="720"/>
      <c r="N959" s="720"/>
      <c r="O959" s="720"/>
      <c r="P959" s="720"/>
      <c r="Q959" s="720"/>
      <c r="R959" s="720"/>
      <c r="S959" s="720"/>
      <c r="T959" s="720"/>
      <c r="U959" s="720"/>
      <c r="V959" s="720"/>
      <c r="W959" s="720"/>
      <c r="X959" s="720"/>
      <c r="Y959" s="720"/>
      <c r="Z959" s="720"/>
      <c r="AA959" s="720"/>
      <c r="AB959" s="720"/>
    </row>
    <row r="960" spans="1:28" ht="12.75" customHeight="1">
      <c r="A960" s="902"/>
      <c r="B960" s="903"/>
      <c r="C960" s="720"/>
      <c r="D960" s="720"/>
      <c r="E960" s="720"/>
      <c r="F960" s="720"/>
      <c r="G960" s="906"/>
      <c r="H960" s="720"/>
      <c r="I960" s="720"/>
      <c r="J960" s="720"/>
      <c r="K960" s="907"/>
      <c r="L960" s="720"/>
      <c r="M960" s="720"/>
      <c r="N960" s="720"/>
      <c r="O960" s="720"/>
      <c r="P960" s="720"/>
      <c r="Q960" s="720"/>
      <c r="R960" s="720"/>
      <c r="S960" s="720"/>
      <c r="T960" s="720"/>
      <c r="U960" s="720"/>
      <c r="V960" s="720"/>
      <c r="W960" s="720"/>
      <c r="X960" s="720"/>
      <c r="Y960" s="720"/>
      <c r="Z960" s="720"/>
      <c r="AA960" s="720"/>
      <c r="AB960" s="720"/>
    </row>
    <row r="961" spans="1:28" ht="12.75" customHeight="1">
      <c r="A961" s="902"/>
      <c r="B961" s="903"/>
      <c r="C961" s="720"/>
      <c r="D961" s="720"/>
      <c r="E961" s="720"/>
      <c r="F961" s="720"/>
      <c r="G961" s="906"/>
      <c r="H961" s="720"/>
      <c r="I961" s="720"/>
      <c r="J961" s="720"/>
      <c r="K961" s="907"/>
      <c r="L961" s="720"/>
      <c r="M961" s="720"/>
      <c r="N961" s="720"/>
      <c r="O961" s="720"/>
      <c r="P961" s="720"/>
      <c r="Q961" s="720"/>
      <c r="R961" s="720"/>
      <c r="S961" s="720"/>
      <c r="T961" s="720"/>
      <c r="U961" s="720"/>
      <c r="V961" s="720"/>
      <c r="W961" s="720"/>
      <c r="X961" s="720"/>
      <c r="Y961" s="720"/>
      <c r="Z961" s="720"/>
      <c r="AA961" s="720"/>
      <c r="AB961" s="720"/>
    </row>
    <row r="962" spans="1:28" ht="12.75" customHeight="1">
      <c r="A962" s="902"/>
      <c r="B962" s="903"/>
      <c r="C962" s="720"/>
      <c r="D962" s="720"/>
      <c r="E962" s="720"/>
      <c r="F962" s="720"/>
      <c r="G962" s="906"/>
      <c r="H962" s="720"/>
      <c r="I962" s="720"/>
      <c r="J962" s="720"/>
      <c r="K962" s="907"/>
      <c r="L962" s="720"/>
      <c r="M962" s="720"/>
      <c r="N962" s="720"/>
      <c r="O962" s="720"/>
      <c r="P962" s="720"/>
      <c r="Q962" s="720"/>
      <c r="R962" s="720"/>
      <c r="S962" s="720"/>
      <c r="T962" s="720"/>
      <c r="U962" s="720"/>
      <c r="V962" s="720"/>
      <c r="W962" s="720"/>
      <c r="X962" s="720"/>
      <c r="Y962" s="720"/>
      <c r="Z962" s="720"/>
      <c r="AA962" s="720"/>
      <c r="AB962" s="720"/>
    </row>
    <row r="963" spans="1:28" ht="12.75" customHeight="1">
      <c r="A963" s="902"/>
      <c r="B963" s="903"/>
      <c r="C963" s="720"/>
      <c r="D963" s="720"/>
      <c r="E963" s="720"/>
      <c r="F963" s="720"/>
      <c r="G963" s="906"/>
      <c r="H963" s="720"/>
      <c r="I963" s="720"/>
      <c r="J963" s="720"/>
      <c r="K963" s="907"/>
      <c r="L963" s="720"/>
      <c r="M963" s="720"/>
      <c r="N963" s="720"/>
      <c r="O963" s="720"/>
      <c r="P963" s="720"/>
      <c r="Q963" s="720"/>
      <c r="R963" s="720"/>
      <c r="S963" s="720"/>
      <c r="T963" s="720"/>
      <c r="U963" s="720"/>
      <c r="V963" s="720"/>
      <c r="W963" s="720"/>
      <c r="X963" s="720"/>
      <c r="Y963" s="720"/>
      <c r="Z963" s="720"/>
      <c r="AA963" s="720"/>
      <c r="AB963" s="720"/>
    </row>
    <row r="964" spans="1:28" ht="12.75" customHeight="1">
      <c r="A964" s="902"/>
      <c r="B964" s="903"/>
      <c r="C964" s="720"/>
      <c r="D964" s="720"/>
      <c r="E964" s="720"/>
      <c r="F964" s="720"/>
      <c r="G964" s="906"/>
      <c r="H964" s="720"/>
      <c r="I964" s="720"/>
      <c r="J964" s="720"/>
      <c r="K964" s="907"/>
      <c r="L964" s="720"/>
      <c r="M964" s="720"/>
      <c r="N964" s="720"/>
      <c r="O964" s="720"/>
      <c r="P964" s="720"/>
      <c r="Q964" s="720"/>
      <c r="R964" s="720"/>
      <c r="S964" s="720"/>
      <c r="T964" s="720"/>
      <c r="U964" s="720"/>
      <c r="V964" s="720"/>
      <c r="W964" s="720"/>
      <c r="X964" s="720"/>
      <c r="Y964" s="720"/>
      <c r="Z964" s="720"/>
      <c r="AA964" s="720"/>
      <c r="AB964" s="720"/>
    </row>
    <row r="965" spans="1:28" ht="12.75" customHeight="1">
      <c r="A965" s="902"/>
      <c r="B965" s="903"/>
      <c r="C965" s="720"/>
      <c r="D965" s="720"/>
      <c r="E965" s="720"/>
      <c r="F965" s="720"/>
      <c r="G965" s="906"/>
      <c r="H965" s="720"/>
      <c r="I965" s="720"/>
      <c r="J965" s="720"/>
      <c r="K965" s="907"/>
      <c r="L965" s="720"/>
      <c r="M965" s="720"/>
      <c r="N965" s="720"/>
      <c r="O965" s="720"/>
      <c r="P965" s="720"/>
      <c r="Q965" s="720"/>
      <c r="R965" s="720"/>
      <c r="S965" s="720"/>
      <c r="T965" s="720"/>
      <c r="U965" s="720"/>
      <c r="V965" s="720"/>
      <c r="W965" s="720"/>
      <c r="X965" s="720"/>
      <c r="Y965" s="720"/>
      <c r="Z965" s="720"/>
      <c r="AA965" s="720"/>
      <c r="AB965" s="720"/>
    </row>
    <row r="966" spans="1:28" ht="12.75" customHeight="1">
      <c r="A966" s="902"/>
      <c r="B966" s="903"/>
      <c r="C966" s="720"/>
      <c r="D966" s="720"/>
      <c r="E966" s="720"/>
      <c r="F966" s="720"/>
      <c r="G966" s="906"/>
      <c r="H966" s="720"/>
      <c r="I966" s="720"/>
      <c r="J966" s="720"/>
      <c r="K966" s="907"/>
      <c r="L966" s="720"/>
      <c r="M966" s="720"/>
      <c r="N966" s="720"/>
      <c r="O966" s="720"/>
      <c r="P966" s="720"/>
      <c r="Q966" s="720"/>
      <c r="R966" s="720"/>
      <c r="S966" s="720"/>
      <c r="T966" s="720"/>
      <c r="U966" s="720"/>
      <c r="V966" s="720"/>
      <c r="W966" s="720"/>
      <c r="X966" s="720"/>
      <c r="Y966" s="720"/>
      <c r="Z966" s="720"/>
      <c r="AA966" s="720"/>
      <c r="AB966" s="720"/>
    </row>
    <row r="967" spans="1:28" ht="12.75" customHeight="1">
      <c r="A967" s="902"/>
      <c r="B967" s="903"/>
      <c r="C967" s="720"/>
      <c r="D967" s="720"/>
      <c r="E967" s="720"/>
      <c r="F967" s="720"/>
      <c r="G967" s="906"/>
      <c r="H967" s="720"/>
      <c r="I967" s="720"/>
      <c r="J967" s="720"/>
      <c r="K967" s="907"/>
      <c r="L967" s="720"/>
      <c r="M967" s="720"/>
      <c r="N967" s="720"/>
      <c r="O967" s="720"/>
      <c r="P967" s="720"/>
      <c r="Q967" s="720"/>
      <c r="R967" s="720"/>
      <c r="S967" s="720"/>
      <c r="T967" s="720"/>
      <c r="U967" s="720"/>
      <c r="V967" s="720"/>
      <c r="W967" s="720"/>
      <c r="X967" s="720"/>
      <c r="Y967" s="720"/>
      <c r="Z967" s="720"/>
      <c r="AA967" s="720"/>
      <c r="AB967" s="720"/>
    </row>
    <row r="968" spans="1:28" ht="12.75" customHeight="1">
      <c r="A968" s="902"/>
      <c r="B968" s="903"/>
      <c r="C968" s="720"/>
      <c r="D968" s="720"/>
      <c r="E968" s="720"/>
      <c r="F968" s="720"/>
      <c r="G968" s="906"/>
      <c r="H968" s="720"/>
      <c r="I968" s="720"/>
      <c r="J968" s="720"/>
      <c r="K968" s="907"/>
      <c r="L968" s="720"/>
      <c r="M968" s="720"/>
      <c r="N968" s="720"/>
      <c r="O968" s="720"/>
      <c r="P968" s="720"/>
      <c r="Q968" s="720"/>
      <c r="R968" s="720"/>
      <c r="S968" s="720"/>
      <c r="T968" s="720"/>
      <c r="U968" s="720"/>
      <c r="V968" s="720"/>
      <c r="W968" s="720"/>
      <c r="X968" s="720"/>
      <c r="Y968" s="720"/>
      <c r="Z968" s="720"/>
      <c r="AA968" s="720"/>
      <c r="AB968" s="720"/>
    </row>
    <row r="969" spans="1:28" ht="12.75" customHeight="1">
      <c r="A969" s="902"/>
      <c r="B969" s="903"/>
      <c r="C969" s="720"/>
      <c r="D969" s="720"/>
      <c r="E969" s="720"/>
      <c r="F969" s="720"/>
      <c r="G969" s="906"/>
      <c r="H969" s="720"/>
      <c r="I969" s="720"/>
      <c r="J969" s="720"/>
      <c r="K969" s="907"/>
      <c r="L969" s="720"/>
      <c r="M969" s="720"/>
      <c r="N969" s="720"/>
      <c r="O969" s="720"/>
      <c r="P969" s="720"/>
      <c r="Q969" s="720"/>
      <c r="R969" s="720"/>
      <c r="S969" s="720"/>
      <c r="T969" s="720"/>
      <c r="U969" s="720"/>
      <c r="V969" s="720"/>
      <c r="W969" s="720"/>
      <c r="X969" s="720"/>
      <c r="Y969" s="720"/>
      <c r="Z969" s="720"/>
      <c r="AA969" s="720"/>
      <c r="AB969" s="720"/>
    </row>
    <row r="970" spans="1:28" ht="12.75" customHeight="1">
      <c r="A970" s="902"/>
      <c r="B970" s="903"/>
      <c r="C970" s="720"/>
      <c r="D970" s="720"/>
      <c r="E970" s="720"/>
      <c r="F970" s="720"/>
      <c r="G970" s="906"/>
      <c r="H970" s="720"/>
      <c r="I970" s="720"/>
      <c r="J970" s="720"/>
      <c r="K970" s="907"/>
      <c r="L970" s="720"/>
      <c r="M970" s="720"/>
      <c r="N970" s="720"/>
      <c r="O970" s="720"/>
      <c r="P970" s="720"/>
      <c r="Q970" s="720"/>
      <c r="R970" s="720"/>
      <c r="S970" s="720"/>
      <c r="T970" s="720"/>
      <c r="U970" s="720"/>
      <c r="V970" s="720"/>
      <c r="W970" s="720"/>
      <c r="X970" s="720"/>
      <c r="Y970" s="720"/>
      <c r="Z970" s="720"/>
      <c r="AA970" s="720"/>
      <c r="AB970" s="720"/>
    </row>
    <row r="971" spans="1:28" ht="12.75" customHeight="1">
      <c r="A971" s="902"/>
      <c r="B971" s="903"/>
      <c r="C971" s="720"/>
      <c r="D971" s="720"/>
      <c r="E971" s="720"/>
      <c r="F971" s="720"/>
      <c r="G971" s="906"/>
      <c r="H971" s="720"/>
      <c r="I971" s="720"/>
      <c r="J971" s="720"/>
      <c r="K971" s="907"/>
      <c r="L971" s="720"/>
      <c r="M971" s="720"/>
      <c r="N971" s="720"/>
      <c r="O971" s="720"/>
      <c r="P971" s="720"/>
      <c r="Q971" s="720"/>
      <c r="R971" s="720"/>
      <c r="S971" s="720"/>
      <c r="T971" s="720"/>
      <c r="U971" s="720"/>
      <c r="V971" s="720"/>
      <c r="W971" s="720"/>
      <c r="X971" s="720"/>
      <c r="Y971" s="720"/>
      <c r="Z971" s="720"/>
      <c r="AA971" s="720"/>
      <c r="AB971" s="720"/>
    </row>
    <row r="972" spans="1:28" ht="12.75" customHeight="1">
      <c r="A972" s="902"/>
      <c r="B972" s="903"/>
      <c r="C972" s="720"/>
      <c r="D972" s="720"/>
      <c r="E972" s="720"/>
      <c r="F972" s="720"/>
      <c r="G972" s="906"/>
      <c r="H972" s="720"/>
      <c r="I972" s="720"/>
      <c r="J972" s="720"/>
      <c r="K972" s="907"/>
      <c r="L972" s="720"/>
      <c r="M972" s="720"/>
      <c r="N972" s="720"/>
      <c r="O972" s="720"/>
      <c r="P972" s="720"/>
      <c r="Q972" s="720"/>
      <c r="R972" s="720"/>
      <c r="S972" s="720"/>
      <c r="T972" s="720"/>
      <c r="U972" s="720"/>
      <c r="V972" s="720"/>
      <c r="W972" s="720"/>
      <c r="X972" s="720"/>
      <c r="Y972" s="720"/>
      <c r="Z972" s="720"/>
      <c r="AA972" s="720"/>
      <c r="AB972" s="720"/>
    </row>
  </sheetData>
  <mergeCells count="18">
    <mergeCell ref="A136:I136"/>
    <mergeCell ref="B1:E1"/>
    <mergeCell ref="F1:I1"/>
    <mergeCell ref="P1:S1"/>
    <mergeCell ref="U1:W1"/>
    <mergeCell ref="A135:I135"/>
    <mergeCell ref="A148:I148"/>
    <mergeCell ref="A137:I137"/>
    <mergeCell ref="A138:I138"/>
    <mergeCell ref="A139:I139"/>
    <mergeCell ref="A140:I140"/>
    <mergeCell ref="A141:I141"/>
    <mergeCell ref="A142:I142"/>
    <mergeCell ref="A143:I143"/>
    <mergeCell ref="A144:I144"/>
    <mergeCell ref="A145:I145"/>
    <mergeCell ref="A146:I146"/>
    <mergeCell ref="A147:I1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Bank XOF</vt:lpstr>
      <vt:lpstr>Exp XOF</vt:lpstr>
      <vt:lpstr>Visa XOF</vt:lpstr>
      <vt:lpstr>Exp Visa</vt:lpstr>
      <vt:lpstr>Details</vt:lpstr>
      <vt:lpstr>Workplan year2</vt:lpstr>
      <vt:lpstr>Budget Year 2</vt:lpstr>
      <vt:lpstr>PTA_Annee2</vt:lpstr>
      <vt:lpstr>Budget Annee 2</vt:lpstr>
      <vt:lpstr>BG</vt:lpstr>
      <vt:lpstr>Fin Re</vt:lpstr>
      <vt:lpstr>Fin Re (2)</vt:lpstr>
      <vt:lpstr>Fin Re (3)</vt:lpstr>
      <vt:lpstr>Bank CFA2014</vt:lpstr>
      <vt:lpstr>Rec ban 2014</vt:lpstr>
      <vt:lpstr>Bank € 14 </vt:lpstr>
      <vt:lpstr>Summary</vt:lpstr>
      <vt:lpstr>Cash</vt:lpstr>
      <vt:lpstr>Jan-Mar 16</vt:lpstr>
      <vt:lpstr>April-June 16</vt:lpstr>
      <vt:lpstr>Feuil1</vt:lpstr>
      <vt:lpstr>Jul-Sept 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dcterms:created xsi:type="dcterms:W3CDTF">2022-04-28T12:06:24Z</dcterms:created>
  <dcterms:modified xsi:type="dcterms:W3CDTF">2022-05-04T11:36:09Z</dcterms:modified>
</cp:coreProperties>
</file>